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990" windowHeight="12000" activeTab="0"/>
  </bookViews>
  <sheets>
    <sheet name="Stavební rozpočet" sheetId="1" r:id="rId1"/>
    <sheet name="Krycí list rozpočtu" sheetId="2" r:id="rId2"/>
  </sheets>
  <definedNames/>
  <calcPr fullCalcOnLoad="1"/>
</workbook>
</file>

<file path=xl/sharedStrings.xml><?xml version="1.0" encoding="utf-8"?>
<sst xmlns="http://schemas.openxmlformats.org/spreadsheetml/2006/main" count="2371" uniqueCount="651">
  <si>
    <t>360</t>
  </si>
  <si>
    <t>92</t>
  </si>
  <si>
    <t>02</t>
  </si>
  <si>
    <t>165</t>
  </si>
  <si>
    <t>Doba výstavby:</t>
  </si>
  <si>
    <t>722181214RW2</t>
  </si>
  <si>
    <t>Projektant</t>
  </si>
  <si>
    <t>67</t>
  </si>
  <si>
    <t>734200VD</t>
  </si>
  <si>
    <t>Základ 15%</t>
  </si>
  <si>
    <t>731100862R00</t>
  </si>
  <si>
    <t>103</t>
  </si>
  <si>
    <t>Stavební práce</t>
  </si>
  <si>
    <t>734209126R00</t>
  </si>
  <si>
    <t>166</t>
  </si>
  <si>
    <t>Zednické výpomoce - výměna armatur</t>
  </si>
  <si>
    <t>734245424R00</t>
  </si>
  <si>
    <t>733920VD</t>
  </si>
  <si>
    <t>91</t>
  </si>
  <si>
    <t>HVDT pro hydraulickou kaskádu - dle specifikace</t>
  </si>
  <si>
    <t>87</t>
  </si>
  <si>
    <t>Základ 21%</t>
  </si>
  <si>
    <t>20</t>
  </si>
  <si>
    <t>Potrubí závit. bezešvé běžné v kotelnách DN 50</t>
  </si>
  <si>
    <t>911700VD</t>
  </si>
  <si>
    <t>07_9_</t>
  </si>
  <si>
    <t>Dodávka</t>
  </si>
  <si>
    <t>NUS celkem z obj.</t>
  </si>
  <si>
    <t>Filtr, vnitřní-vnitřní z. DN 32</t>
  </si>
  <si>
    <t>167</t>
  </si>
  <si>
    <t>Tlakoměr ukazovací, vč.uzav.armatury a příslušenství - pr.100, 0-1 MPa</t>
  </si>
  <si>
    <t>Kohout kul.vypouštěcí,komplet, DN 15</t>
  </si>
  <si>
    <t>HZS-demontáž stávajícího odtahu spalin (kouřovody, vložky) a tepelné izolace demontované technologie v kotelně, vč. vynesení před objekt</t>
  </si>
  <si>
    <t>731619VD</t>
  </si>
  <si>
    <t>147</t>
  </si>
  <si>
    <t>Název stavby:</t>
  </si>
  <si>
    <t>722181214RW6</t>
  </si>
  <si>
    <t>Ostatní materiál</t>
  </si>
  <si>
    <t>48</t>
  </si>
  <si>
    <t>29</t>
  </si>
  <si>
    <t>Návarky s trubkovým závitem pro montáž čerpadel</t>
  </si>
  <si>
    <t>Č</t>
  </si>
  <si>
    <t>734245425R00</t>
  </si>
  <si>
    <t>Ostatní nespecifikovatelné potrubní tvarovky a uchycení potrubí</t>
  </si>
  <si>
    <t>Poznámka:</t>
  </si>
  <si>
    <t>Lokalita:</t>
  </si>
  <si>
    <t>79</t>
  </si>
  <si>
    <t>71</t>
  </si>
  <si>
    <t>16</t>
  </si>
  <si>
    <t>PSV</t>
  </si>
  <si>
    <t>24</t>
  </si>
  <si>
    <t>Kohout kulový, 2xvnitřní záv. DN 50</t>
  </si>
  <si>
    <t>Bez pevné podl.</t>
  </si>
  <si>
    <t>05_9_</t>
  </si>
  <si>
    <t>731614VD</t>
  </si>
  <si>
    <t>733_</t>
  </si>
  <si>
    <t>Celkem</t>
  </si>
  <si>
    <t>734200822R00</t>
  </si>
  <si>
    <t>Zařízení staveniště</t>
  </si>
  <si>
    <t>H734</t>
  </si>
  <si>
    <t>733111117R00</t>
  </si>
  <si>
    <t>734235223R00</t>
  </si>
  <si>
    <t>Nátěr syntet. potrubí  a podpěrných konstrukcí Z +2x +1x email</t>
  </si>
  <si>
    <t>4</t>
  </si>
  <si>
    <t>97</t>
  </si>
  <si>
    <t>121</t>
  </si>
  <si>
    <t>94</t>
  </si>
  <si>
    <t>Trubka - prodloužení 1000 mm, DN 100, materiál plast - dle specifikace</t>
  </si>
  <si>
    <t>145</t>
  </si>
  <si>
    <t>Přesun hmot pro vnitřní plynovod, výšky do 6 m</t>
  </si>
  <si>
    <t>60</t>
  </si>
  <si>
    <t>Základní rozpočtové náklady</t>
  </si>
  <si>
    <t>02_Z_</t>
  </si>
  <si>
    <t>Návarky s trubkovým závitem G 6/4</t>
  </si>
  <si>
    <t>26</t>
  </si>
  <si>
    <t>723301VD</t>
  </si>
  <si>
    <t>105</t>
  </si>
  <si>
    <t>Potrubí závit. bezešvé běžné v kotelnách DN 32</t>
  </si>
  <si>
    <t>06_73_</t>
  </si>
  <si>
    <t>135</t>
  </si>
  <si>
    <t>Ostatní nespecifikovatelné potrubní tvarovky</t>
  </si>
  <si>
    <t>Celkem bez DPH</t>
  </si>
  <si>
    <t>122</t>
  </si>
  <si>
    <t>Demontáž ohříváků zásobníkových stojat.do 1600 l</t>
  </si>
  <si>
    <t>138</t>
  </si>
  <si>
    <t>721_</t>
  </si>
  <si>
    <t>734235224R00</t>
  </si>
  <si>
    <t>Hmotnost (t)</t>
  </si>
  <si>
    <t>6</t>
  </si>
  <si>
    <t>Rozpočtové náklady v Kč</t>
  </si>
  <si>
    <t>68</t>
  </si>
  <si>
    <t>734209115R00</t>
  </si>
  <si>
    <t>03</t>
  </si>
  <si>
    <t>81</t>
  </si>
  <si>
    <t>733911VD</t>
  </si>
  <si>
    <t>732104VD</t>
  </si>
  <si>
    <t>723120204R00</t>
  </si>
  <si>
    <t>734209114R00</t>
  </si>
  <si>
    <t>Kohout kulový, 2xvnitřní záv. DN 32</t>
  </si>
  <si>
    <t>Oběhové čerpadlo č.1 ÚT kuchyň - dle specifikace</t>
  </si>
  <si>
    <t>B</t>
  </si>
  <si>
    <t>119</t>
  </si>
  <si>
    <t>160</t>
  </si>
  <si>
    <t>Náklady na umístění stavby (NUS)</t>
  </si>
  <si>
    <t>734173416R00</t>
  </si>
  <si>
    <t>42</t>
  </si>
  <si>
    <t>734421150R00</t>
  </si>
  <si>
    <t>82</t>
  </si>
  <si>
    <t>Montáž</t>
  </si>
  <si>
    <t>734_</t>
  </si>
  <si>
    <t>Datum, razítko a podpis</t>
  </si>
  <si>
    <t>ZRN celkem</t>
  </si>
  <si>
    <t>733121220R00</t>
  </si>
  <si>
    <t>HZS-vynesení demontovaného zařízení (kotle,EN,technologie) před objekt</t>
  </si>
  <si>
    <t>731615VD</t>
  </si>
  <si>
    <t>734209125R00</t>
  </si>
  <si>
    <t>734494213R00</t>
  </si>
  <si>
    <t>Zednické výpomoce v kotelně - úklid kotelny, oprava omítek, začištění, výmalba</t>
  </si>
  <si>
    <t>Návarky s trubkovým závitem G 5/4</t>
  </si>
  <si>
    <t>69</t>
  </si>
  <si>
    <t>141</t>
  </si>
  <si>
    <t>Z99999_</t>
  </si>
  <si>
    <t>33</t>
  </si>
  <si>
    <t>952311VD</t>
  </si>
  <si>
    <t>733123913R00</t>
  </si>
  <si>
    <t>DPH 15%</t>
  </si>
  <si>
    <t>360100VD</t>
  </si>
  <si>
    <t>722181214RT9</t>
  </si>
  <si>
    <t>78</t>
  </si>
  <si>
    <t>120</t>
  </si>
  <si>
    <t>63</t>
  </si>
  <si>
    <t>783_</t>
  </si>
  <si>
    <t>Montáž čerpadel oběhových spirálních, do DN 40, vč. souvztažných prvků</t>
  </si>
  <si>
    <t>154</t>
  </si>
  <si>
    <t>723350VD</t>
  </si>
  <si>
    <t>137</t>
  </si>
  <si>
    <t>723245VD</t>
  </si>
  <si>
    <t>Příplatek za ztíženou montáž</t>
  </si>
  <si>
    <t>25</t>
  </si>
  <si>
    <t>kus</t>
  </si>
  <si>
    <t>Osazení servopohonu na směšov.ventily</t>
  </si>
  <si>
    <t>Dodávky</t>
  </si>
  <si>
    <t>soustava</t>
  </si>
  <si>
    <t>734295216R00</t>
  </si>
  <si>
    <t>Ostatní mat.</t>
  </si>
  <si>
    <t>732100VD</t>
  </si>
  <si>
    <t>05</t>
  </si>
  <si>
    <t>998723201R00</t>
  </si>
  <si>
    <t>130</t>
  </si>
  <si>
    <t>Návarky s trubkovým závitem G 5/4-armatury</t>
  </si>
  <si>
    <t>Cenová</t>
  </si>
  <si>
    <t>Revizní T-kus přímý, DN 200, plast - dle specifikace</t>
  </si>
  <si>
    <t>Odvoz izolace na skládku,poplatek za skládku - uložení tepelné izolace</t>
  </si>
  <si>
    <t>133</t>
  </si>
  <si>
    <t>Montáž armatur závitových,se 3závity, G 1-směš.ventil</t>
  </si>
  <si>
    <t>Lešení lehké pomocné, výška podlahy do 2,5 m</t>
  </si>
  <si>
    <t>731621VD</t>
  </si>
  <si>
    <t>Patní koleno 90°, DN 200, plast - dle specifikace</t>
  </si>
  <si>
    <t>731_</t>
  </si>
  <si>
    <t>HSV prac</t>
  </si>
  <si>
    <t>90_</t>
  </si>
  <si>
    <t>Zabezpečení stávajícího zařízení proti poškození při montážích</t>
  </si>
  <si>
    <t>139</t>
  </si>
  <si>
    <t>129</t>
  </si>
  <si>
    <t>731616VD</t>
  </si>
  <si>
    <t>151</t>
  </si>
  <si>
    <t>Oběhové čerpadlo č.3 - ÚT zadní část - dle specifikace</t>
  </si>
  <si>
    <t>734494215R00</t>
  </si>
  <si>
    <t>13</t>
  </si>
  <si>
    <t>Montáž kaskády kotlů - 3x 80 kW</t>
  </si>
  <si>
    <t>723238VD</t>
  </si>
  <si>
    <t>900      R03</t>
  </si>
  <si>
    <t>"M"</t>
  </si>
  <si>
    <t>Plynoinstalace</t>
  </si>
  <si>
    <t>Svařovaný spoj potrubí ocelového hladkého DN 25 (úprava) pro výměnu ventilů</t>
  </si>
  <si>
    <t>140</t>
  </si>
  <si>
    <t>02_78_</t>
  </si>
  <si>
    <t>Krycí list rozpočtu</t>
  </si>
  <si>
    <t>732103VD</t>
  </si>
  <si>
    <t>723236613R00</t>
  </si>
  <si>
    <t>Odvoz demontované technologie do sběrných surovin</t>
  </si>
  <si>
    <t>Výměna stoupačkových armatur, doplnění tep.izolací</t>
  </si>
  <si>
    <t>Cena/MJ</t>
  </si>
  <si>
    <t>Návarky s trubkovým závitem G 3/4-armatury</t>
  </si>
  <si>
    <t>Napojení na akumulační potrubí - přívodní potrubí plynu ke kotlům</t>
  </si>
  <si>
    <t>Konec výstavby:</t>
  </si>
  <si>
    <t>Hodinové zúčtovací sazby (HZS)</t>
  </si>
  <si>
    <t>127</t>
  </si>
  <si>
    <t>Ochranná nerezová teplotní jímka se závitem G 1/2", vnitřní průměr d=7 mm, délka 400 mm, včetně návarku - pro teplotní čidla systému MaR - dle specif</t>
  </si>
  <si>
    <t>15.02.2023</t>
  </si>
  <si>
    <t>Kód</t>
  </si>
  <si>
    <t>Jednot.</t>
  </si>
  <si>
    <t>43</t>
  </si>
  <si>
    <t>732350VD</t>
  </si>
  <si>
    <t>722181215RY1</t>
  </si>
  <si>
    <t>Zásobníkový ohřívač vody, 500 l - dle specifikace</t>
  </si>
  <si>
    <t>Demontáž armatur se 2závity do G 1 v rozsahu výměny armatur</t>
  </si>
  <si>
    <t>731414VD</t>
  </si>
  <si>
    <t>soubor</t>
  </si>
  <si>
    <t>MJ</t>
  </si>
  <si>
    <t>Odvoz demontované materiálu - ventilu a potrubí na skládku</t>
  </si>
  <si>
    <t>Klapka zpětná,2xvnitř.závit DN 32</t>
  </si>
  <si>
    <t>45</t>
  </si>
  <si>
    <t>40</t>
  </si>
  <si>
    <t>Návarky s trubkovým závitem G 1/2-armatury</t>
  </si>
  <si>
    <t>Ostatní drobný nespecifikovaný materiál</t>
  </si>
  <si>
    <t>731624VD</t>
  </si>
  <si>
    <t>Doplňkové náklady</t>
  </si>
  <si>
    <t>Rozšiřující modul pro komunikaci s nadřaz.systémem - dle specifikace</t>
  </si>
  <si>
    <t>132</t>
  </si>
  <si>
    <t>02_73_</t>
  </si>
  <si>
    <t>731249121R00</t>
  </si>
  <si>
    <t>PSV prac</t>
  </si>
  <si>
    <t>HSV</t>
  </si>
  <si>
    <t>Ochranná nerezová teplotní jímka se závitem G 1/2", vnitřní průměr d=7 mm, délka 100 mm, včetně návarku - pro teplotní čidla systému MaR - dle specif</t>
  </si>
  <si>
    <t>9</t>
  </si>
  <si>
    <t>734295321R00</t>
  </si>
  <si>
    <t>731</t>
  </si>
  <si>
    <t>734413134R00</t>
  </si>
  <si>
    <t>143</t>
  </si>
  <si>
    <t>104</t>
  </si>
  <si>
    <t>734245426R00</t>
  </si>
  <si>
    <t>15</t>
  </si>
  <si>
    <t>731413VD</t>
  </si>
  <si>
    <t>95</t>
  </si>
  <si>
    <t>ISWORK</t>
  </si>
  <si>
    <t>Celkem včetně DPH</t>
  </si>
  <si>
    <t>Technologie zdroje tepla</t>
  </si>
  <si>
    <t>Filtr, vnitřní-vnitřní z. DN 40</t>
  </si>
  <si>
    <t>142</t>
  </si>
  <si>
    <t>Základ 0%</t>
  </si>
  <si>
    <t>156</t>
  </si>
  <si>
    <t>150</t>
  </si>
  <si>
    <t>734295214R00</t>
  </si>
  <si>
    <t>721176103R00</t>
  </si>
  <si>
    <t>360_</t>
  </si>
  <si>
    <t>733900VD</t>
  </si>
  <si>
    <t>52</t>
  </si>
  <si>
    <t>Nýdek</t>
  </si>
  <si>
    <t>118</t>
  </si>
  <si>
    <t>Demontáž kotle litinového stávajícího</t>
  </si>
  <si>
    <t>723190204R00</t>
  </si>
  <si>
    <t>Návarky s trubkovým závitem G 1-armatury</t>
  </si>
  <si>
    <t>Montáž komunikačního modulu kaskády s nadřaz.systémem</t>
  </si>
  <si>
    <t>51</t>
  </si>
  <si>
    <t>Distanční objímka zdvojena pro pr. 200 - nerez</t>
  </si>
  <si>
    <t>Přírubové spoje PN 1,6/I MPa, DN 65 - pro filtr</t>
  </si>
  <si>
    <t>Mont prac</t>
  </si>
  <si>
    <t>Ostatní související práce a činnosti</t>
  </si>
  <si>
    <t>Svařovaný spoj potrubí ocelového hladkéh DN 32 (úprava) pro výměnu ventilů</t>
  </si>
  <si>
    <t>44</t>
  </si>
  <si>
    <t>734235222R00</t>
  </si>
  <si>
    <t>Kotelny</t>
  </si>
  <si>
    <t>h</t>
  </si>
  <si>
    <t>23</t>
  </si>
  <si>
    <t>911600VD</t>
  </si>
  <si>
    <t>Montáž přírub. armatur, vč. 2 přírub, PN 1,6, DN 65, vč. mezipřírubové klapky DN 65</t>
  </si>
  <si>
    <t>128</t>
  </si>
  <si>
    <t>Tepelná izolace návleková s pěnového poletylénu tl. stěny 20 mm, vnitřní průměr 50 mm</t>
  </si>
  <si>
    <t>59</t>
  </si>
  <si>
    <t>109</t>
  </si>
  <si>
    <t>732_</t>
  </si>
  <si>
    <t>733901VD</t>
  </si>
  <si>
    <t>117</t>
  </si>
  <si>
    <t>732900VD</t>
  </si>
  <si>
    <t>Teploměr 120 °C, D 80 / dl.jímky 90 mm</t>
  </si>
  <si>
    <t> </t>
  </si>
  <si>
    <t>53</t>
  </si>
  <si>
    <t>723_</t>
  </si>
  <si>
    <t>99</t>
  </si>
  <si>
    <t>161</t>
  </si>
  <si>
    <t>Potrubí hladké bezešvé v kotelnách DN 125</t>
  </si>
  <si>
    <t>107</t>
  </si>
  <si>
    <t>Ostatní materiál pro uchycení a utěsnění odtahu spalin</t>
  </si>
  <si>
    <t>125</t>
  </si>
  <si>
    <t>Klapka zpětná,2xvnitřní závit DN 40</t>
  </si>
  <si>
    <t>Vypuštění vody z ohříváků o obsahu do 630 l</t>
  </si>
  <si>
    <t>Odtah spalin</t>
  </si>
  <si>
    <t>Vnitřní plynovod</t>
  </si>
  <si>
    <t>JKSO:</t>
  </si>
  <si>
    <t>Návarky s trubkovým závitem pro montáž směšovacích ventilů</t>
  </si>
  <si>
    <t>Tepelná izolace návleková s pěnového poletylénu tl. stěny 20 mm, vnitřní průměr 28 mm</t>
  </si>
  <si>
    <t>Kaskáda 3 ks kotlů 20-240 kW, montáž do prostoru - dle specifikace</t>
  </si>
  <si>
    <t>85</t>
  </si>
  <si>
    <t>Tepelná izolace návleková s pěnového poletylénu tl. stěny 25 mm, vnitřní průměr 76 mm</t>
  </si>
  <si>
    <t>64</t>
  </si>
  <si>
    <t>Návarky s trubkovým závitem G 1</t>
  </si>
  <si>
    <t>Oprava nátěru potrubí po výměně ventilů</t>
  </si>
  <si>
    <t>H723</t>
  </si>
  <si>
    <t>01_Z_</t>
  </si>
  <si>
    <t>Tlakoměr ukazovací, vč.uzav.armatury a příslušenství - pr.100, 0-600 kPa</t>
  </si>
  <si>
    <t>77</t>
  </si>
  <si>
    <t>Klapka zpětná,2xvnitřní závit DN 50</t>
  </si>
  <si>
    <t>DN celkem</t>
  </si>
  <si>
    <t>06</t>
  </si>
  <si>
    <t>Směš.ventil pro ÚT zadní část, DN 32, kvs=16 včetně pohonu - dle specifikace</t>
  </si>
  <si>
    <t>116</t>
  </si>
  <si>
    <t>GROUPCODE</t>
  </si>
  <si>
    <t>146</t>
  </si>
  <si>
    <t>911</t>
  </si>
  <si>
    <t>0</t>
  </si>
  <si>
    <t>732212815R00</t>
  </si>
  <si>
    <t>734493111R00</t>
  </si>
  <si>
    <t>Provozní vlivy</t>
  </si>
  <si>
    <t>5</t>
  </si>
  <si>
    <t>144</t>
  </si>
  <si>
    <t>Stavební rozpočet</t>
  </si>
  <si>
    <t>Druh stavby:</t>
  </si>
  <si>
    <t>03_73_</t>
  </si>
  <si>
    <t>162</t>
  </si>
  <si>
    <t>Bloková úpravna vody - dle specifikace</t>
  </si>
  <si>
    <t>05_</t>
  </si>
  <si>
    <t>Oběhové čerpadlo č.4 - VZTZ - dle specifikace</t>
  </si>
  <si>
    <t>723300VD</t>
  </si>
  <si>
    <t>96</t>
  </si>
  <si>
    <t>731608VD</t>
  </si>
  <si>
    <t>Zednické výpomoce související s odtahem spalin</t>
  </si>
  <si>
    <t>Zpracováno dne:</t>
  </si>
  <si>
    <t>Ostatní montážní a kotvící materiál</t>
  </si>
  <si>
    <t>06_72_</t>
  </si>
  <si>
    <t>Oběhové čerpadlo č.2 - ÚT přední část - dle specifikace</t>
  </si>
  <si>
    <t>Montáž anuloidu pro hydraulickou kaskádu</t>
  </si>
  <si>
    <t>Návarky s trubkovým závitem G 2, G 2 1/2-armaruty</t>
  </si>
  <si>
    <t>783</t>
  </si>
  <si>
    <t>Ostatní nespecifikovatelné tvarovky potrubí PPR, HT pro odvod z úpravny vody, neutralizačního zařízení a odvod z pojistných ventilů do kanalizace</t>
  </si>
  <si>
    <t>941955003R00</t>
  </si>
  <si>
    <t>Trubka s hrdlem 1000 mm, DN 200, plast - dle specifikace</t>
  </si>
  <si>
    <t>10</t>
  </si>
  <si>
    <t>149</t>
  </si>
  <si>
    <t>952_</t>
  </si>
  <si>
    <t>722181214RU2</t>
  </si>
  <si>
    <t>Demontáž a zaslepení potrubí DN 32</t>
  </si>
  <si>
    <t>58</t>
  </si>
  <si>
    <t>HZS-demontýž stávající technologie kotelny</t>
  </si>
  <si>
    <t>36</t>
  </si>
  <si>
    <t>Filtr pro plyn, vnitřní-vnitřní závit ke kotli, DN 25</t>
  </si>
  <si>
    <t>Oběhové čerpadlo č.5 - ohřev TV - dle specifikace</t>
  </si>
  <si>
    <t>Propojení potrubí po demontáži přír.armatury DN 65</t>
  </si>
  <si>
    <t>Potrubí z PPR, D 25x4,2 mm, PN 20 - Doplňování systému ÚT</t>
  </si>
  <si>
    <t>14</t>
  </si>
  <si>
    <t>31</t>
  </si>
  <si>
    <t>722181215RY5</t>
  </si>
  <si>
    <t>84</t>
  </si>
  <si>
    <t>Ostatní nespec.izolace-páska,sponky</t>
  </si>
  <si>
    <t>Množství</t>
  </si>
  <si>
    <t>734209122R00</t>
  </si>
  <si>
    <t>38</t>
  </si>
  <si>
    <t>Odplynění potrubí, zaplynění potrubí, tlaková zkouška,zkouška těsnosti, revize</t>
  </si>
  <si>
    <t>Vnitřní vodovod</t>
  </si>
  <si>
    <t>Typ skupiny</t>
  </si>
  <si>
    <t>73</t>
  </si>
  <si>
    <t>734200811R00</t>
  </si>
  <si>
    <t>713290VD</t>
  </si>
  <si>
    <t>Koleno 90°  DN 200 s revizním otvorem, plast - dle specifikace</t>
  </si>
  <si>
    <t>Ventil pojistný, DN 20 x 6,0 bar</t>
  </si>
  <si>
    <t>56</t>
  </si>
  <si>
    <t>722_</t>
  </si>
  <si>
    <t>19</t>
  </si>
  <si>
    <t>C</t>
  </si>
  <si>
    <t>Náklady (Kč)</t>
  </si>
  <si>
    <t>721</t>
  </si>
  <si>
    <t>731610VD</t>
  </si>
  <si>
    <t>110</t>
  </si>
  <si>
    <t>39</t>
  </si>
  <si>
    <t>30</t>
  </si>
  <si>
    <t>722172332R00</t>
  </si>
  <si>
    <t>Box pro neutralizaci kondenzátu, vč. náplně - dle specifikace</t>
  </si>
  <si>
    <t>IČO/DIČ:</t>
  </si>
  <si>
    <t>734200823R00</t>
  </si>
  <si>
    <t>Ostatní</t>
  </si>
  <si>
    <t>86</t>
  </si>
  <si>
    <t>Montáž ohříváků vody stojat.PN 0,6-0,6,do 1000 l</t>
  </si>
  <si>
    <t>Armatury</t>
  </si>
  <si>
    <t>733111115R00</t>
  </si>
  <si>
    <t>55</t>
  </si>
  <si>
    <t>911602VD</t>
  </si>
  <si>
    <t>Zpracoval:</t>
  </si>
  <si>
    <t>732</t>
  </si>
  <si>
    <t>76</t>
  </si>
  <si>
    <t>734255125R00</t>
  </si>
  <si>
    <t>734255112R00</t>
  </si>
  <si>
    <t>911_</t>
  </si>
  <si>
    <t>PD-skutečné provedení prací</t>
  </si>
  <si>
    <t>Zhotovitel</t>
  </si>
  <si>
    <t>734494216R00</t>
  </si>
  <si>
    <t>783425350R00</t>
  </si>
  <si>
    <t>Dopravné, ostatní vedlejší náklady</t>
  </si>
  <si>
    <t>Uchycení potrubí a ostatní montážní materiál</t>
  </si>
  <si>
    <t>2</t>
  </si>
  <si>
    <t>Projektant:</t>
  </si>
  <si>
    <t>ORN celkem</t>
  </si>
  <si>
    <t>734100812R00</t>
  </si>
  <si>
    <t/>
  </si>
  <si>
    <t>02_72_</t>
  </si>
  <si>
    <t>152</t>
  </si>
  <si>
    <t>17</t>
  </si>
  <si>
    <t>ks</t>
  </si>
  <si>
    <t>733111116R00</t>
  </si>
  <si>
    <t>98</t>
  </si>
  <si>
    <t>112</t>
  </si>
  <si>
    <t>Lešení a stavební výtahy</t>
  </si>
  <si>
    <t>21</t>
  </si>
  <si>
    <t>733111118R00</t>
  </si>
  <si>
    <t>Ochranné jímky se závitem, vč. návarku pro teploměr</t>
  </si>
  <si>
    <t>734215133R00</t>
  </si>
  <si>
    <t>Filtry s výměnnou vložkou D 71-117-616 P1,DN 65</t>
  </si>
  <si>
    <t>Práce přesčas</t>
  </si>
  <si>
    <t>723</t>
  </si>
  <si>
    <t>734235227R00</t>
  </si>
  <si>
    <t>Filtr, vnitřní-vnitřní z. DN 20</t>
  </si>
  <si>
    <t>61</t>
  </si>
  <si>
    <t>731200VD</t>
  </si>
  <si>
    <t>Filtr, vnitřní-vnitřní z. DN 50</t>
  </si>
  <si>
    <t>734310VD</t>
  </si>
  <si>
    <t>126</t>
  </si>
  <si>
    <t>734494218R00</t>
  </si>
  <si>
    <t>124</t>
  </si>
  <si>
    <t>Místní provozní řád kotelny, revizní knihy kotlů</t>
  </si>
  <si>
    <t>734401VD</t>
  </si>
  <si>
    <t>158</t>
  </si>
  <si>
    <t>12</t>
  </si>
  <si>
    <t>733123917R00</t>
  </si>
  <si>
    <t>Směš.ventil pro ÚT kuchyň,DN 25, kvs=10 včetně pohonu - dle specifikace</t>
  </si>
  <si>
    <t>Demontáž armatur se dvěma přírubami  DN 65</t>
  </si>
  <si>
    <t>734295212R00</t>
  </si>
  <si>
    <t>Kulturní památka</t>
  </si>
  <si>
    <t>Objekt</t>
  </si>
  <si>
    <t>168</t>
  </si>
  <si>
    <t>01</t>
  </si>
  <si>
    <t>Elektromagnetický dopouštěcí ventil - DN 20 - dle specifikace</t>
  </si>
  <si>
    <t>911651VD</t>
  </si>
  <si>
    <t>DPH 21%</t>
  </si>
  <si>
    <t>06_</t>
  </si>
  <si>
    <t>134</t>
  </si>
  <si>
    <t>Svařovaný spoj potrubí ocelového hladkého DN 20 (úprava) pro výměnu ventilů</t>
  </si>
  <si>
    <t>Přesun hmot pro armatury, výšky do 6 m</t>
  </si>
  <si>
    <t>01_9_</t>
  </si>
  <si>
    <t>04_</t>
  </si>
  <si>
    <t>731613VD</t>
  </si>
  <si>
    <t>732101VD</t>
  </si>
  <si>
    <t>H731</t>
  </si>
  <si>
    <t>Kohout kulový, 2xvnitřní záv. DN 25</t>
  </si>
  <si>
    <t>kpl</t>
  </si>
  <si>
    <t>ORN celkem z obj.</t>
  </si>
  <si>
    <t>734400VD</t>
  </si>
  <si>
    <t>Ostatní souv.práce-koordinace,IČ, provozní vlivy, KD, dokumentace pro předání</t>
  </si>
  <si>
    <t>734235226R00</t>
  </si>
  <si>
    <t>49</t>
  </si>
  <si>
    <t>72</t>
  </si>
  <si>
    <t>Demontáž armatur s 1závitem do G 1/2 v rozsahu výměny armatur</t>
  </si>
  <si>
    <t>Přesuny</t>
  </si>
  <si>
    <t>MAT</t>
  </si>
  <si>
    <t>Kouřovod-spalinová kaskáda pro 3 kotly - podle specifikace</t>
  </si>
  <si>
    <t>HZS-výpouštění vody a zpětné napouštění vody do otopné soustavy, odvzdušnění</t>
  </si>
  <si>
    <t>70</t>
  </si>
  <si>
    <t>8</t>
  </si>
  <si>
    <t>Celkem:</t>
  </si>
  <si>
    <t>Mimostav. doprava</t>
  </si>
  <si>
    <t>04</t>
  </si>
  <si>
    <t>Nátěry</t>
  </si>
  <si>
    <t>Návarky s trubkovým závitem G 6/4-armatury</t>
  </si>
  <si>
    <t>18</t>
  </si>
  <si>
    <t>DN celkem z obj.</t>
  </si>
  <si>
    <t>46</t>
  </si>
  <si>
    <t>732214813R00</t>
  </si>
  <si>
    <t>Komínová nerezová hlavice - komplet - vyústění z komínu</t>
  </si>
  <si>
    <t>100</t>
  </si>
  <si>
    <t>108</t>
  </si>
  <si>
    <t>50</t>
  </si>
  <si>
    <t>06_78_</t>
  </si>
  <si>
    <t>Servisní ventil k exp.nádobě DN 25, vč. redukce 6/4"x1" - dle specifikace</t>
  </si>
  <si>
    <t>m</t>
  </si>
  <si>
    <t>Uvedení do provozu kaskády kotlů autorizovaným technikem</t>
  </si>
  <si>
    <t>Montáž armatur závitových,se 2závity, G 3/4-elektromagnetický dopouštěcí ventil</t>
  </si>
  <si>
    <t>734494214R00</t>
  </si>
  <si>
    <t>11</t>
  </si>
  <si>
    <t>RTS II / 2022</t>
  </si>
  <si>
    <t>32</t>
  </si>
  <si>
    <t>Rozvod potrubí</t>
  </si>
  <si>
    <t>Tepelná izolace návleková s pěnového poletylénu tl. stěny 25 mm, vnitřní průměr 60 mm</t>
  </si>
  <si>
    <t>Objednatel:</t>
  </si>
  <si>
    <t>731625VD</t>
  </si>
  <si>
    <t>Dodávka a montáž elektroinstalace, MaR - viz samostatný rozpočet</t>
  </si>
  <si>
    <t>01_72_</t>
  </si>
  <si>
    <t>734</t>
  </si>
  <si>
    <t>Potrubí ocelové závitové černé svařované DN 25</t>
  </si>
  <si>
    <t>PSV mat</t>
  </si>
  <si>
    <t>722182094RT1</t>
  </si>
  <si>
    <t>732349104R00</t>
  </si>
  <si>
    <t>734235131R00</t>
  </si>
  <si>
    <t>Ventil pojistný, DN 15 x 3,0 bar</t>
  </si>
  <si>
    <t>734235225R00</t>
  </si>
  <si>
    <t>732429112R00</t>
  </si>
  <si>
    <t>3</t>
  </si>
  <si>
    <t>734163416R00</t>
  </si>
  <si>
    <t>911254VD</t>
  </si>
  <si>
    <t>06_Z_</t>
  </si>
  <si>
    <t>Ochranná nerezová teplotní jímka se závitem G 1/2", vnitřní průměr d=7 mm, délka 60 mm, včetně návarku - pro teplotní čidla systému MaR - dle specif</t>
  </si>
  <si>
    <t>102</t>
  </si>
  <si>
    <t>Zhotovitel:</t>
  </si>
  <si>
    <t>Svařovaný spoj potrubí ocelového hladkého DN 40 (úprava) pro výměnu ventilů</t>
  </si>
  <si>
    <t>%</t>
  </si>
  <si>
    <t>Tepelná izolace návleková s pěnového poletylénu tl. stěny 20 mm, vnitřní průměr 35 mm</t>
  </si>
  <si>
    <t>02_</t>
  </si>
  <si>
    <t>35</t>
  </si>
  <si>
    <t>Zkoušky,seřízení, nastavení, uvedení do provozu</t>
  </si>
  <si>
    <t>734402VD</t>
  </si>
  <si>
    <t>Začátek výstavby:</t>
  </si>
  <si>
    <t>Montáž armatur závitových,se 2závity, G 1-servisní ventil expan.nádoby</t>
  </si>
  <si>
    <t>07_</t>
  </si>
  <si>
    <t>A</t>
  </si>
  <si>
    <t>Zajištění dodávek teplé vody (TV) v průběhu rerkonstrukce zdroje tepla pomocí dodávky a montáže el. topných tyčí v ohřívačích vody - 2 x 6 kWe</t>
  </si>
  <si>
    <t>Kohout kulový,2xvnitřní závit, DN 25</t>
  </si>
  <si>
    <t>Mont mat</t>
  </si>
  <si>
    <t>733121232R00</t>
  </si>
  <si>
    <t>163</t>
  </si>
  <si>
    <t>722</t>
  </si>
  <si>
    <t>731110VD</t>
  </si>
  <si>
    <t>93</t>
  </si>
  <si>
    <t>Trubka 0,5 m DN 200, UV stabilní bez hrdla - vyustění z komínu</t>
  </si>
  <si>
    <t>157</t>
  </si>
  <si>
    <t>101</t>
  </si>
  <si>
    <t>75</t>
  </si>
  <si>
    <t>54</t>
  </si>
  <si>
    <t>733123915R00</t>
  </si>
  <si>
    <t xml:space="preserve"> </t>
  </si>
  <si>
    <t>136</t>
  </si>
  <si>
    <t>153</t>
  </si>
  <si>
    <t>731635VD</t>
  </si>
  <si>
    <t>Montáž armatur závitových,se 3závity, G 5/4-směšovací ventil</t>
  </si>
  <si>
    <t>H734_</t>
  </si>
  <si>
    <t>123</t>
  </si>
  <si>
    <t>159</t>
  </si>
  <si>
    <t>Ostatní nespecifikovatelné ocelové potrubní tvarovky a fitinky</t>
  </si>
  <si>
    <t>04_3_</t>
  </si>
  <si>
    <t>732219315R00</t>
  </si>
  <si>
    <t>Objednatel</t>
  </si>
  <si>
    <t>57</t>
  </si>
  <si>
    <t>Vynášeci konzola pro patní koleno DN 200 - dle specifikace</t>
  </si>
  <si>
    <t>723237215R00</t>
  </si>
  <si>
    <t>(Kč)</t>
  </si>
  <si>
    <t>Tepelná izolace návleková s pěnového poletylénu tl. stěny 25 mm, vnitřní průměr 134 mm - rozdělovaš, sběrač</t>
  </si>
  <si>
    <t>783424340R00</t>
  </si>
  <si>
    <t>733729VD</t>
  </si>
  <si>
    <t>22</t>
  </si>
  <si>
    <t>Potrubí závit. bezešvé běžné v kotelnách DN 25</t>
  </si>
  <si>
    <t>732102VD</t>
  </si>
  <si>
    <t>115</t>
  </si>
  <si>
    <t>Směš.ventil pro ÚT přední část, DN 25, kvs=6,3 včetně pohonu - dle specifikace</t>
  </si>
  <si>
    <t>Územní vlivy</t>
  </si>
  <si>
    <t>998731201R00</t>
  </si>
  <si>
    <t>Přípojka k plynovému kotli, DN 25, dl. 300 mm</t>
  </si>
  <si>
    <t>Filtr, vnitřní-vnitřní z. DN 65</t>
  </si>
  <si>
    <t>733123916R00</t>
  </si>
  <si>
    <t>Drobné stavební úpravy</t>
  </si>
  <si>
    <t>733121221R00</t>
  </si>
  <si>
    <t>Datum:</t>
  </si>
  <si>
    <t>Potrubí HT připojovací, odvodní - odvod kondenzátu, odvod z úpravny vody, odvod poj.ventily</t>
  </si>
  <si>
    <t>27</t>
  </si>
  <si>
    <t>734209117R00</t>
  </si>
  <si>
    <t>732368VD</t>
  </si>
  <si>
    <t>37</t>
  </si>
  <si>
    <t>80</t>
  </si>
  <si>
    <t>722181215RZ4</t>
  </si>
  <si>
    <t>m2</t>
  </si>
  <si>
    <t>41</t>
  </si>
  <si>
    <t>Přesun hmot a sutí</t>
  </si>
  <si>
    <t>NUS z rozpočtu</t>
  </si>
  <si>
    <t>731607VD</t>
  </si>
  <si>
    <t>731249129R00</t>
  </si>
  <si>
    <t>1</t>
  </si>
  <si>
    <t>731890VD</t>
  </si>
  <si>
    <t>Kohout kulový, 2xvnitřní záv. DN 65</t>
  </si>
  <si>
    <t>Měření a regulace, elektroinstalace</t>
  </si>
  <si>
    <t>Strojovny</t>
  </si>
  <si>
    <t>7</t>
  </si>
  <si>
    <t>783421110R00</t>
  </si>
  <si>
    <t>01_78_</t>
  </si>
  <si>
    <t>Rozměry</t>
  </si>
  <si>
    <t>998734203R00</t>
  </si>
  <si>
    <t>731411VD</t>
  </si>
  <si>
    <t>74</t>
  </si>
  <si>
    <t>Zdroj tepla</t>
  </si>
  <si>
    <t>Položek:</t>
  </si>
  <si>
    <t>NUS celkem</t>
  </si>
  <si>
    <t>WORK</t>
  </si>
  <si>
    <t>164</t>
  </si>
  <si>
    <t>131</t>
  </si>
  <si>
    <t>Rekonstrukce zdroje tepla v objektu Domov Nýdek</t>
  </si>
  <si>
    <t>83</t>
  </si>
  <si>
    <t>Propojení stávajícího rozdělovače a aběrače</t>
  </si>
  <si>
    <t>733</t>
  </si>
  <si>
    <t>Přesun hmot pro kotelny, výšky do 6 m</t>
  </si>
  <si>
    <t>114</t>
  </si>
  <si>
    <t>734295215R00</t>
  </si>
  <si>
    <t>47</t>
  </si>
  <si>
    <t>734295217R00</t>
  </si>
  <si>
    <t>HSV mat</t>
  </si>
  <si>
    <t>731102VD</t>
  </si>
  <si>
    <t>Kohout kulový, 2xvnitřní záv. DN 40</t>
  </si>
  <si>
    <t>06_9_</t>
  </si>
  <si>
    <t>Nádoby expanzní tlak.s memb.,200 l</t>
  </si>
  <si>
    <t>66</t>
  </si>
  <si>
    <t>Nátěr syntet. potrubí do DN 50 mm  Z+2x +1x email</t>
  </si>
  <si>
    <t>07</t>
  </si>
  <si>
    <t>Ventil odvzdušňovací automat. DN 15</t>
  </si>
  <si>
    <t>731611VD</t>
  </si>
  <si>
    <t>Kohout kulový, 2xvnitřní záv. DN 20</t>
  </si>
  <si>
    <t>Montáž neutralizačního boxu, vč. náplně</t>
  </si>
  <si>
    <t>155</t>
  </si>
  <si>
    <t>Příplatek za montáž izolačních tvarovek</t>
  </si>
  <si>
    <t>90</t>
  </si>
  <si>
    <t>89</t>
  </si>
  <si>
    <t>731112VD</t>
  </si>
  <si>
    <t>732331519R00</t>
  </si>
  <si>
    <t>731111VD</t>
  </si>
  <si>
    <t>88</t>
  </si>
  <si>
    <t>02_9_</t>
  </si>
  <si>
    <t>Tepelná izolace návleková s pěnového poletylénu tl. stěny 20 mm, vnitřní průměr 45 mm</t>
  </si>
  <si>
    <t>148</t>
  </si>
  <si>
    <t>Zkrácený popis</t>
  </si>
  <si>
    <t>Potrubí hladké bezešvé v kotelnách DN 65</t>
  </si>
  <si>
    <t>734494217R00</t>
  </si>
  <si>
    <t>28</t>
  </si>
  <si>
    <t>111</t>
  </si>
  <si>
    <t>HZS-kotvení  a upevnění technologického zařízení kotelny</t>
  </si>
  <si>
    <t>01_</t>
  </si>
  <si>
    <t>H731_</t>
  </si>
  <si>
    <t>CELK</t>
  </si>
  <si>
    <t>Potrubí závit. bezešvé běžné v kotelnách DN 40</t>
  </si>
  <si>
    <t>113</t>
  </si>
  <si>
    <t>106</t>
  </si>
  <si>
    <t>94_</t>
  </si>
  <si>
    <t>65</t>
  </si>
  <si>
    <t>169</t>
  </si>
  <si>
    <t>34</t>
  </si>
  <si>
    <t>62</t>
  </si>
  <si>
    <t>03_</t>
  </si>
  <si>
    <t>Režijní materiál pro demontáž stáv.zařízení kotelny (plyn, kyslík, řezné kotouče, …)</t>
  </si>
  <si>
    <t>Montáž redukce k servisnímu ventilu exp.nádoby, G 6/4</t>
  </si>
  <si>
    <t>734109215RT2</t>
  </si>
  <si>
    <t>Návarky s trubkovým závitem G 3/4</t>
  </si>
  <si>
    <t>733730VD</t>
  </si>
  <si>
    <t>952</t>
  </si>
  <si>
    <t>Kohout kulový s vypouštěním,DN 15</t>
  </si>
  <si>
    <t>731609VD</t>
  </si>
  <si>
    <t>HZS-vynesení demontovaného zařízení (armatury, potrubí) před objekt</t>
  </si>
  <si>
    <t>Montážní práce, revize, přesun hmot - odtah spalin</t>
  </si>
  <si>
    <t>H723_</t>
  </si>
  <si>
    <t>Demontáž armatur se 2závity do G 6/4 v rozsahu výměny armatur</t>
  </si>
  <si>
    <t>Vnitřní kanalizace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</si>
</sst>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#,##0.00\ &quot;Kč&quot;_);\-#,##0.00\ &quot;Kč&quot;"/>
    <numFmt numFmtId="165" formatCode="#,##0\ &quot;Kč&quot;_);\-#,##0\ &quot;Kč&quot;"/>
    <numFmt numFmtId="166" formatCode="#,##0\ &quot;Kč&quot;_);[Red]\-#,##0\ &quot;Kč&quot;"/>
    <numFmt numFmtId="167" formatCode="#,##0.00\ &quot;Kč&quot;_);[Red]\-#,##0.00\ &quot;Kč&quot;"/>
    <numFmt numFmtId="168" formatCode="_(* #,##0\ _);_(\-* #,##0\ ;_(* &quot;-&quot;\ _);_(@_)"/>
    <numFmt numFmtId="169" formatCode="_(* #,##0\ &quot;Kč&quot;_);_(\-* #,##0\ &quot;Kč&quot;;_(* &quot;-&quot;\ &quot;Kč&quot;_);_(@_)"/>
    <numFmt numFmtId="170" formatCode="_(* #,##0.00\ &quot;Kč&quot;_);_(\-* #,##0.00\ &quot;Kč&quot;;_(* &quot;-&quot;??\ &quot;Kč&quot;_);_(@_)"/>
    <numFmt numFmtId="171" formatCode="_(* #,##0.00\ _);_(\-* #,##0.00\ ;_(* &quot;-&quot;??\ _);_(@_)"/>
  </numFmts>
  <fonts count="58">
    <font>
      <sz val="7"/>
      <name val="Arial"/>
      <family val="0"/>
    </font>
    <font>
      <sz val="11"/>
      <name val="Calibri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b/>
      <sz val="20"/>
      <color indexed="8"/>
      <name val="Arial"/>
      <family val="0"/>
    </font>
    <font>
      <i/>
      <sz val="8"/>
      <color indexed="8"/>
      <name val="Arial"/>
      <family val="0"/>
    </font>
    <font>
      <sz val="18"/>
      <color indexed="8"/>
      <name val="Arial"/>
      <family val="0"/>
    </font>
    <font>
      <b/>
      <sz val="18"/>
      <color indexed="8"/>
      <name val="Arial"/>
      <family val="0"/>
    </font>
    <font>
      <b/>
      <sz val="11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7"/>
      <color indexed="30"/>
      <name val="Arial"/>
      <family val="0"/>
    </font>
    <font>
      <u val="single"/>
      <sz val="7"/>
      <color indexed="25"/>
      <name val="Arial"/>
      <family val="0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u val="single"/>
      <sz val="7"/>
      <color theme="10"/>
      <name val="Arial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7"/>
      <color theme="11"/>
      <name val="Arial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0"/>
    </font>
    <font>
      <b/>
      <sz val="10"/>
      <color rgb="FF000000"/>
      <name val="Arial"/>
      <family val="0"/>
    </font>
    <font>
      <b/>
      <sz val="12"/>
      <color rgb="FF000000"/>
      <name val="Arial"/>
      <family val="0"/>
    </font>
    <font>
      <sz val="12"/>
      <color rgb="FF000000"/>
      <name val="Arial"/>
      <family val="0"/>
    </font>
    <font>
      <b/>
      <sz val="20"/>
      <color rgb="FF000000"/>
      <name val="Arial"/>
      <family val="0"/>
    </font>
    <font>
      <i/>
      <sz val="8"/>
      <color rgb="FF000000"/>
      <name val="Arial"/>
      <family val="0"/>
    </font>
    <font>
      <sz val="18"/>
      <color rgb="FF000000"/>
      <name val="Arial"/>
      <family val="0"/>
    </font>
    <font>
      <b/>
      <sz val="11"/>
      <color rgb="FF000000"/>
      <name val="Arial"/>
      <family val="0"/>
    </font>
    <font>
      <b/>
      <sz val="18"/>
      <color rgb="FF000000"/>
      <name val="Arial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>
        <color rgb="FF000000"/>
      </right>
      <top>
        <color rgb="FFC0C0C0"/>
      </top>
      <bottom/>
    </border>
    <border>
      <left>
        <color rgb="FF000000"/>
      </left>
      <right style="thin">
        <color rgb="FF000000"/>
      </right>
      <top>
        <color rgb="FF000000"/>
      </top>
      <bottom style="medium">
        <color rgb="FF000000"/>
      </bottom>
    </border>
    <border>
      <left>
        <color rgb="FF000000"/>
      </left>
      <right/>
      <top/>
      <bottom style="medium">
        <color rgb="FF000000"/>
      </bottom>
    </border>
    <border>
      <left style="thin">
        <color rgb="FFC0C0C0"/>
      </left>
      <right>
        <color rgb="FFC0C0C0"/>
      </right>
      <top>
        <color rgb="FFC0C0C0"/>
      </top>
      <bottom>
        <color rgb="FFC0C0C0"/>
      </bottom>
    </border>
    <border>
      <left style="thin">
        <color rgb="FF000000"/>
      </left>
      <right style="thin">
        <color rgb="FF000000"/>
      </right>
      <top>
        <color rgb="FF000000"/>
      </top>
      <bottom/>
    </border>
    <border>
      <left/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/>
      <top>
        <color rgb="FFC0C0C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 style="medium">
        <color rgb="FF000000"/>
      </bottom>
    </border>
    <border>
      <left>
        <color rgb="FF000000"/>
      </left>
      <right style="thin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>
        <color rgb="FF000000"/>
      </left>
      <right/>
      <top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>
        <color rgb="FF000000"/>
      </top>
      <bottom style="thin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>
        <color rgb="FF000000"/>
      </left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/>
      <bottom/>
    </border>
    <border>
      <left style="medium">
        <color rgb="FF000000"/>
      </left>
      <right/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>
        <color rgb="FF000000"/>
      </left>
      <right/>
      <top style="thin">
        <color rgb="FF000000"/>
      </top>
      <bottom style="thin">
        <color rgb="FF000000"/>
      </bottom>
    </border>
  </borders>
  <cellStyleXfs count="63">
    <xf numFmtId="0" fontId="0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</cellStyleXfs>
  <cellXfs count="119">
    <xf numFmtId="0" fontId="1" fillId="0" borderId="0" xfId="0" applyNumberFormat="1" applyFont="1" applyFill="1" applyBorder="1" applyAlignment="1" applyProtection="1">
      <alignment/>
      <protection/>
    </xf>
    <xf numFmtId="0" fontId="49" fillId="33" borderId="0" xfId="0" applyNumberFormat="1" applyFont="1" applyFill="1" applyBorder="1" applyAlignment="1" applyProtection="1">
      <alignment horizontal="left" vertical="center"/>
      <protection/>
    </xf>
    <xf numFmtId="0" fontId="50" fillId="33" borderId="10" xfId="0" applyNumberFormat="1" applyFont="1" applyFill="1" applyBorder="1" applyAlignment="1" applyProtection="1">
      <alignment horizontal="right" vertical="center"/>
      <protection/>
    </xf>
    <xf numFmtId="0" fontId="49" fillId="0" borderId="0" xfId="0" applyNumberFormat="1" applyFont="1" applyFill="1" applyBorder="1" applyAlignment="1" applyProtection="1">
      <alignment horizontal="right" vertical="center"/>
      <protection/>
    </xf>
    <xf numFmtId="4" fontId="49" fillId="34" borderId="0" xfId="0" applyNumberFormat="1" applyFont="1" applyFill="1" applyBorder="1" applyAlignment="1" applyProtection="1">
      <alignment horizontal="right" vertical="center"/>
      <protection/>
    </xf>
    <xf numFmtId="0" fontId="50" fillId="0" borderId="11" xfId="0" applyNumberFormat="1" applyFont="1" applyFill="1" applyBorder="1" applyAlignment="1" applyProtection="1">
      <alignment horizontal="center" vertical="center"/>
      <protection/>
    </xf>
    <xf numFmtId="0" fontId="50" fillId="0" borderId="12" xfId="0" applyNumberFormat="1" applyFont="1" applyFill="1" applyBorder="1" applyAlignment="1" applyProtection="1">
      <alignment horizontal="center" vertical="center"/>
      <protection/>
    </xf>
    <xf numFmtId="0" fontId="50" fillId="33" borderId="10" xfId="0" applyNumberFormat="1" applyFont="1" applyFill="1" applyBorder="1" applyAlignment="1" applyProtection="1">
      <alignment horizontal="right" vertical="center"/>
      <protection/>
    </xf>
    <xf numFmtId="0" fontId="49" fillId="33" borderId="0" xfId="0" applyNumberFormat="1" applyFont="1" applyFill="1" applyBorder="1" applyAlignment="1" applyProtection="1">
      <alignment horizontal="left" vertical="center"/>
      <protection/>
    </xf>
    <xf numFmtId="0" fontId="50" fillId="0" borderId="0" xfId="0" applyNumberFormat="1" applyFont="1" applyFill="1" applyBorder="1" applyAlignment="1" applyProtection="1">
      <alignment horizontal="right" vertical="center"/>
      <protection/>
    </xf>
    <xf numFmtId="0" fontId="49" fillId="34" borderId="13" xfId="0" applyNumberFormat="1" applyFont="1" applyFill="1" applyBorder="1" applyAlignment="1" applyProtection="1">
      <alignment horizontal="left" vertical="center"/>
      <protection/>
    </xf>
    <xf numFmtId="0" fontId="50" fillId="33" borderId="0" xfId="0" applyNumberFormat="1" applyFont="1" applyFill="1" applyBorder="1" applyAlignment="1" applyProtection="1">
      <alignment horizontal="right" vertical="center"/>
      <protection/>
    </xf>
    <xf numFmtId="0" fontId="51" fillId="0" borderId="14" xfId="0" applyNumberFormat="1" applyFont="1" applyFill="1" applyBorder="1" applyAlignment="1" applyProtection="1">
      <alignment horizontal="left" vertical="center"/>
      <protection/>
    </xf>
    <xf numFmtId="0" fontId="52" fillId="0" borderId="15" xfId="0" applyNumberFormat="1" applyFont="1" applyFill="1" applyBorder="1" applyAlignment="1" applyProtection="1">
      <alignment horizontal="left" vertical="center"/>
      <protection/>
    </xf>
    <xf numFmtId="0" fontId="50" fillId="33" borderId="0" xfId="0" applyNumberFormat="1" applyFont="1" applyFill="1" applyBorder="1" applyAlignment="1" applyProtection="1">
      <alignment horizontal="left" vertical="center"/>
      <protection/>
    </xf>
    <xf numFmtId="0" fontId="52" fillId="0" borderId="10" xfId="0" applyNumberFormat="1" applyFont="1" applyFill="1" applyBorder="1" applyAlignment="1" applyProtection="1">
      <alignment horizontal="right" vertical="center"/>
      <protection/>
    </xf>
    <xf numFmtId="0" fontId="49" fillId="33" borderId="16" xfId="0" applyNumberFormat="1" applyFont="1" applyFill="1" applyBorder="1" applyAlignment="1" applyProtection="1">
      <alignment horizontal="left" vertical="center"/>
      <protection/>
    </xf>
    <xf numFmtId="0" fontId="49" fillId="33" borderId="0" xfId="0" applyNumberFormat="1" applyFont="1" applyFill="1" applyBorder="1" applyAlignment="1" applyProtection="1">
      <alignment horizontal="left" vertical="center"/>
      <protection/>
    </xf>
    <xf numFmtId="4" fontId="52" fillId="0" borderId="10" xfId="0" applyNumberFormat="1" applyFont="1" applyFill="1" applyBorder="1" applyAlignment="1" applyProtection="1">
      <alignment horizontal="right" vertical="center"/>
      <protection/>
    </xf>
    <xf numFmtId="4" fontId="49" fillId="0" borderId="0" xfId="0" applyNumberFormat="1" applyFont="1" applyFill="1" applyBorder="1" applyAlignment="1" applyProtection="1">
      <alignment horizontal="right" vertical="center"/>
      <protection/>
    </xf>
    <xf numFmtId="0" fontId="49" fillId="33" borderId="0" xfId="0" applyNumberFormat="1" applyFont="1" applyFill="1" applyBorder="1" applyAlignment="1" applyProtection="1">
      <alignment horizontal="left" vertical="center"/>
      <protection/>
    </xf>
    <xf numFmtId="0" fontId="49" fillId="0" borderId="0" xfId="0" applyNumberFormat="1" applyFont="1" applyFill="1" applyBorder="1" applyAlignment="1" applyProtection="1">
      <alignment horizontal="left" vertical="center"/>
      <protection/>
    </xf>
    <xf numFmtId="0" fontId="53" fillId="33" borderId="17" xfId="0" applyNumberFormat="1" applyFont="1" applyFill="1" applyBorder="1" applyAlignment="1" applyProtection="1">
      <alignment horizontal="center" vertical="center"/>
      <protection/>
    </xf>
    <xf numFmtId="0" fontId="52" fillId="0" borderId="15" xfId="0" applyNumberFormat="1" applyFont="1" applyFill="1" applyBorder="1" applyAlignment="1" applyProtection="1">
      <alignment horizontal="right" vertical="center"/>
      <protection/>
    </xf>
    <xf numFmtId="0" fontId="50" fillId="0" borderId="18" xfId="0" applyNumberFormat="1" applyFont="1" applyFill="1" applyBorder="1" applyAlignment="1" applyProtection="1">
      <alignment horizontal="center" vertical="center"/>
      <protection/>
    </xf>
    <xf numFmtId="0" fontId="50" fillId="0" borderId="19" xfId="0" applyNumberFormat="1" applyFont="1" applyFill="1" applyBorder="1" applyAlignment="1" applyProtection="1">
      <alignment horizontal="left" vertical="center"/>
      <protection/>
    </xf>
    <xf numFmtId="0" fontId="49" fillId="0" borderId="16" xfId="0" applyNumberFormat="1" applyFont="1" applyFill="1" applyBorder="1" applyAlignment="1" applyProtection="1">
      <alignment horizontal="left" vertical="center"/>
      <protection/>
    </xf>
    <xf numFmtId="4" fontId="50" fillId="33" borderId="0" xfId="0" applyNumberFormat="1" applyFont="1" applyFill="1" applyBorder="1" applyAlignment="1" applyProtection="1">
      <alignment horizontal="right" vertical="center"/>
      <protection/>
    </xf>
    <xf numFmtId="4" fontId="52" fillId="0" borderId="15" xfId="0" applyNumberFormat="1" applyFont="1" applyFill="1" applyBorder="1" applyAlignment="1" applyProtection="1">
      <alignment horizontal="right" vertical="center"/>
      <protection/>
    </xf>
    <xf numFmtId="0" fontId="49" fillId="33" borderId="16" xfId="0" applyNumberFormat="1" applyFont="1" applyFill="1" applyBorder="1" applyAlignment="1" applyProtection="1">
      <alignment horizontal="left" vertical="center"/>
      <protection/>
    </xf>
    <xf numFmtId="0" fontId="50" fillId="33" borderId="10" xfId="0" applyNumberFormat="1" applyFont="1" applyFill="1" applyBorder="1" applyAlignment="1" applyProtection="1">
      <alignment horizontal="right" vertical="center"/>
      <protection/>
    </xf>
    <xf numFmtId="0" fontId="49" fillId="0" borderId="11" xfId="0" applyNumberFormat="1" applyFont="1" applyFill="1" applyBorder="1" applyAlignment="1" applyProtection="1">
      <alignment horizontal="left" vertical="center"/>
      <protection/>
    </xf>
    <xf numFmtId="0" fontId="50" fillId="33" borderId="0" xfId="0" applyNumberFormat="1" applyFont="1" applyFill="1" applyBorder="1" applyAlignment="1" applyProtection="1">
      <alignment horizontal="left" vertical="center"/>
      <protection/>
    </xf>
    <xf numFmtId="4" fontId="50" fillId="33" borderId="0" xfId="0" applyNumberFormat="1" applyFont="1" applyFill="1" applyBorder="1" applyAlignment="1" applyProtection="1">
      <alignment horizontal="right" vertical="center"/>
      <protection/>
    </xf>
    <xf numFmtId="4" fontId="52" fillId="0" borderId="11" xfId="0" applyNumberFormat="1" applyFont="1" applyFill="1" applyBorder="1" applyAlignment="1" applyProtection="1">
      <alignment horizontal="right" vertical="center"/>
      <protection/>
    </xf>
    <xf numFmtId="0" fontId="50" fillId="0" borderId="20" xfId="0" applyNumberFormat="1" applyFont="1" applyFill="1" applyBorder="1" applyAlignment="1" applyProtection="1">
      <alignment horizontal="center" vertical="center"/>
      <protection/>
    </xf>
    <xf numFmtId="0" fontId="50" fillId="33" borderId="0" xfId="0" applyNumberFormat="1" applyFont="1" applyFill="1" applyBorder="1" applyAlignment="1" applyProtection="1">
      <alignment horizontal="left" vertical="center"/>
      <protection/>
    </xf>
    <xf numFmtId="0" fontId="54" fillId="0" borderId="0" xfId="0" applyNumberFormat="1" applyFont="1" applyFill="1" applyBorder="1" applyAlignment="1" applyProtection="1">
      <alignment horizontal="left" vertical="center"/>
      <protection/>
    </xf>
    <xf numFmtId="4" fontId="50" fillId="33" borderId="0" xfId="0" applyNumberFormat="1" applyFont="1" applyFill="1" applyBorder="1" applyAlignment="1" applyProtection="1">
      <alignment horizontal="right" vertical="center"/>
      <protection/>
    </xf>
    <xf numFmtId="4" fontId="50" fillId="0" borderId="0" xfId="0" applyNumberFormat="1" applyFont="1" applyFill="1" applyBorder="1" applyAlignment="1" applyProtection="1">
      <alignment horizontal="right" vertical="center"/>
      <protection/>
    </xf>
    <xf numFmtId="4" fontId="50" fillId="33" borderId="0" xfId="0" applyNumberFormat="1" applyFont="1" applyFill="1" applyBorder="1" applyAlignment="1" applyProtection="1">
      <alignment horizontal="right" vertical="center"/>
      <protection/>
    </xf>
    <xf numFmtId="0" fontId="49" fillId="0" borderId="10" xfId="0" applyNumberFormat="1" applyFont="1" applyFill="1" applyBorder="1" applyAlignment="1" applyProtection="1">
      <alignment horizontal="right" vertical="center"/>
      <protection/>
    </xf>
    <xf numFmtId="4" fontId="51" fillId="33" borderId="17" xfId="0" applyNumberFormat="1" applyFont="1" applyFill="1" applyBorder="1" applyAlignment="1" applyProtection="1">
      <alignment horizontal="right" vertical="center"/>
      <protection/>
    </xf>
    <xf numFmtId="0" fontId="51" fillId="0" borderId="21" xfId="0" applyNumberFormat="1" applyFont="1" applyFill="1" applyBorder="1" applyAlignment="1" applyProtection="1">
      <alignment horizontal="left" vertical="center"/>
      <protection/>
    </xf>
    <xf numFmtId="0" fontId="50" fillId="0" borderId="19" xfId="0" applyNumberFormat="1" applyFont="1" applyFill="1" applyBorder="1" applyAlignment="1" applyProtection="1">
      <alignment horizontal="center" vertical="center"/>
      <protection/>
    </xf>
    <xf numFmtId="0" fontId="49" fillId="0" borderId="22" xfId="0" applyNumberFormat="1" applyFont="1" applyFill="1" applyBorder="1" applyAlignment="1" applyProtection="1">
      <alignment horizontal="left" vertical="center"/>
      <protection/>
    </xf>
    <xf numFmtId="0" fontId="49" fillId="0" borderId="23" xfId="0" applyNumberFormat="1" applyFont="1" applyFill="1" applyBorder="1" applyAlignment="1" applyProtection="1">
      <alignment horizontal="left" vertical="center"/>
      <protection/>
    </xf>
    <xf numFmtId="0" fontId="50" fillId="33" borderId="0" xfId="0" applyNumberFormat="1" applyFont="1" applyFill="1" applyBorder="1" applyAlignment="1" applyProtection="1">
      <alignment horizontal="left" vertical="center"/>
      <protection/>
    </xf>
    <xf numFmtId="0" fontId="50" fillId="0" borderId="24" xfId="0" applyNumberFormat="1" applyFont="1" applyFill="1" applyBorder="1" applyAlignment="1" applyProtection="1">
      <alignment horizontal="left" vertical="center"/>
      <protection/>
    </xf>
    <xf numFmtId="0" fontId="49" fillId="34" borderId="0" xfId="0" applyNumberFormat="1" applyFont="1" applyFill="1" applyBorder="1" applyAlignment="1" applyProtection="1">
      <alignment horizontal="left" vertical="center"/>
      <protection/>
    </xf>
    <xf numFmtId="0" fontId="53" fillId="33" borderId="25" xfId="0" applyNumberFormat="1" applyFont="1" applyFill="1" applyBorder="1" applyAlignment="1" applyProtection="1">
      <alignment horizontal="center" vertical="center"/>
      <protection/>
    </xf>
    <xf numFmtId="0" fontId="50" fillId="33" borderId="0" xfId="0" applyNumberFormat="1" applyFont="1" applyFill="1" applyBorder="1" applyAlignment="1" applyProtection="1">
      <alignment horizontal="right" vertical="center"/>
      <protection/>
    </xf>
    <xf numFmtId="4" fontId="51" fillId="33" borderId="15" xfId="0" applyNumberFormat="1" applyFont="1" applyFill="1" applyBorder="1" applyAlignment="1" applyProtection="1">
      <alignment horizontal="right" vertical="center"/>
      <protection/>
    </xf>
    <xf numFmtId="0" fontId="49" fillId="33" borderId="16" xfId="0" applyNumberFormat="1" applyFont="1" applyFill="1" applyBorder="1" applyAlignment="1" applyProtection="1">
      <alignment horizontal="left" vertical="center"/>
      <protection/>
    </xf>
    <xf numFmtId="0" fontId="50" fillId="0" borderId="22" xfId="0" applyNumberFormat="1" applyFont="1" applyFill="1" applyBorder="1" applyAlignment="1" applyProtection="1">
      <alignment horizontal="center" vertical="center"/>
      <protection/>
    </xf>
    <xf numFmtId="0" fontId="49" fillId="0" borderId="26" xfId="0" applyNumberFormat="1" applyFont="1" applyFill="1" applyBorder="1" applyAlignment="1" applyProtection="1">
      <alignment horizontal="left" vertical="center"/>
      <protection/>
    </xf>
    <xf numFmtId="0" fontId="50" fillId="33" borderId="0" xfId="0" applyNumberFormat="1" applyFont="1" applyFill="1" applyBorder="1" applyAlignment="1" applyProtection="1">
      <alignment horizontal="right" vertical="center"/>
      <protection/>
    </xf>
    <xf numFmtId="4" fontId="52" fillId="0" borderId="17" xfId="0" applyNumberFormat="1" applyFont="1" applyFill="1" applyBorder="1" applyAlignment="1" applyProtection="1">
      <alignment horizontal="right" vertical="center"/>
      <protection/>
    </xf>
    <xf numFmtId="0" fontId="50" fillId="33" borderId="10" xfId="0" applyNumberFormat="1" applyFont="1" applyFill="1" applyBorder="1" applyAlignment="1" applyProtection="1">
      <alignment horizontal="right" vertical="center"/>
      <protection/>
    </xf>
    <xf numFmtId="0" fontId="50" fillId="33" borderId="0" xfId="0" applyNumberFormat="1" applyFont="1" applyFill="1" applyBorder="1" applyAlignment="1" applyProtection="1">
      <alignment horizontal="right" vertical="center"/>
      <protection/>
    </xf>
    <xf numFmtId="0" fontId="50" fillId="0" borderId="27" xfId="0" applyNumberFormat="1" applyFont="1" applyFill="1" applyBorder="1" applyAlignment="1" applyProtection="1">
      <alignment horizontal="center" vertical="center"/>
      <protection/>
    </xf>
    <xf numFmtId="0" fontId="49" fillId="33" borderId="16" xfId="0" applyNumberFormat="1" applyFont="1" applyFill="1" applyBorder="1" applyAlignment="1" applyProtection="1">
      <alignment horizontal="left" vertical="center"/>
      <protection/>
    </xf>
    <xf numFmtId="0" fontId="50" fillId="0" borderId="28" xfId="0" applyNumberFormat="1" applyFont="1" applyFill="1" applyBorder="1" applyAlignment="1" applyProtection="1">
      <alignment horizontal="center" vertical="center"/>
      <protection/>
    </xf>
    <xf numFmtId="4" fontId="49" fillId="0" borderId="23" xfId="0" applyNumberFormat="1" applyFont="1" applyFill="1" applyBorder="1" applyAlignment="1" applyProtection="1">
      <alignment horizontal="right" vertical="center"/>
      <protection/>
    </xf>
    <xf numFmtId="0" fontId="49" fillId="0" borderId="0" xfId="0" applyNumberFormat="1" applyFont="1" applyFill="1" applyBorder="1" applyAlignment="1" applyProtection="1">
      <alignment horizontal="left" vertical="center"/>
      <protection/>
    </xf>
    <xf numFmtId="0" fontId="49" fillId="0" borderId="23" xfId="0" applyNumberFormat="1" applyFont="1" applyFill="1" applyBorder="1" applyAlignment="1" applyProtection="1">
      <alignment horizontal="left" vertical="center"/>
      <protection/>
    </xf>
    <xf numFmtId="0" fontId="50" fillId="0" borderId="0" xfId="0" applyNumberFormat="1" applyFont="1" applyFill="1" applyBorder="1" applyAlignment="1" applyProtection="1">
      <alignment horizontal="left" vertical="center"/>
      <protection/>
    </xf>
    <xf numFmtId="0" fontId="49" fillId="0" borderId="0" xfId="0" applyNumberFormat="1" applyFont="1" applyFill="1" applyBorder="1" applyAlignment="1" applyProtection="1">
      <alignment horizontal="left" vertical="center" wrapText="1"/>
      <protection/>
    </xf>
    <xf numFmtId="0" fontId="50" fillId="33" borderId="0" xfId="0" applyNumberFormat="1" applyFont="1" applyFill="1" applyBorder="1" applyAlignment="1" applyProtection="1">
      <alignment horizontal="left" vertical="center"/>
      <protection/>
    </xf>
    <xf numFmtId="0" fontId="49" fillId="34" borderId="0" xfId="0" applyNumberFormat="1" applyFont="1" applyFill="1" applyBorder="1" applyAlignment="1" applyProtection="1">
      <alignment horizontal="left" vertical="center"/>
      <protection/>
    </xf>
    <xf numFmtId="0" fontId="50" fillId="0" borderId="12" xfId="0" applyNumberFormat="1" applyFont="1" applyFill="1" applyBorder="1" applyAlignment="1" applyProtection="1">
      <alignment horizontal="left" vertical="center"/>
      <protection/>
    </xf>
    <xf numFmtId="0" fontId="50" fillId="0" borderId="11" xfId="0" applyNumberFormat="1" applyFont="1" applyFill="1" applyBorder="1" applyAlignment="1" applyProtection="1">
      <alignment horizontal="left" vertical="center"/>
      <protection/>
    </xf>
    <xf numFmtId="0" fontId="50" fillId="0" borderId="29" xfId="0" applyNumberFormat="1" applyFont="1" applyFill="1" applyBorder="1" applyAlignment="1" applyProtection="1">
      <alignment horizontal="center" vertical="center"/>
      <protection/>
    </xf>
    <xf numFmtId="0" fontId="50" fillId="0" borderId="30" xfId="0" applyNumberFormat="1" applyFont="1" applyFill="1" applyBorder="1" applyAlignment="1" applyProtection="1">
      <alignment horizontal="center" vertical="center"/>
      <protection/>
    </xf>
    <xf numFmtId="0" fontId="50" fillId="0" borderId="31" xfId="0" applyNumberFormat="1" applyFont="1" applyFill="1" applyBorder="1" applyAlignment="1" applyProtection="1">
      <alignment horizontal="center" vertical="center"/>
      <protection/>
    </xf>
    <xf numFmtId="0" fontId="49" fillId="0" borderId="32" xfId="0" applyNumberFormat="1" applyFont="1" applyFill="1" applyBorder="1" applyAlignment="1" applyProtection="1">
      <alignment horizontal="left" vertical="center"/>
      <protection/>
    </xf>
    <xf numFmtId="0" fontId="49" fillId="0" borderId="33" xfId="0" applyNumberFormat="1" applyFont="1" applyFill="1" applyBorder="1" applyAlignment="1" applyProtection="1">
      <alignment horizontal="left" vertical="center"/>
      <protection/>
    </xf>
    <xf numFmtId="0" fontId="49" fillId="0" borderId="10" xfId="0" applyNumberFormat="1" applyFont="1" applyFill="1" applyBorder="1" applyAlignment="1" applyProtection="1">
      <alignment horizontal="left" vertical="center"/>
      <protection/>
    </xf>
    <xf numFmtId="0" fontId="50" fillId="0" borderId="27" xfId="0" applyNumberFormat="1" applyFont="1" applyFill="1" applyBorder="1" applyAlignment="1" applyProtection="1">
      <alignment horizontal="left" vertical="center"/>
      <protection/>
    </xf>
    <xf numFmtId="0" fontId="50" fillId="0" borderId="19" xfId="0" applyNumberFormat="1" applyFont="1" applyFill="1" applyBorder="1" applyAlignment="1" applyProtection="1">
      <alignment horizontal="left" vertical="center"/>
      <protection/>
    </xf>
    <xf numFmtId="0" fontId="50" fillId="0" borderId="32" xfId="0" applyNumberFormat="1" applyFont="1" applyFill="1" applyBorder="1" applyAlignment="1" applyProtection="1">
      <alignment horizontal="left" vertical="center" wrapText="1"/>
      <protection/>
    </xf>
    <xf numFmtId="0" fontId="50" fillId="0" borderId="32" xfId="0" applyNumberFormat="1" applyFont="1" applyFill="1" applyBorder="1" applyAlignment="1" applyProtection="1">
      <alignment horizontal="left" vertical="center"/>
      <protection/>
    </xf>
    <xf numFmtId="0" fontId="55" fillId="0" borderId="0" xfId="0" applyNumberFormat="1" applyFont="1" applyFill="1" applyBorder="1" applyAlignment="1" applyProtection="1">
      <alignment horizontal="center" vertical="center"/>
      <protection/>
    </xf>
    <xf numFmtId="0" fontId="49" fillId="0" borderId="34" xfId="0" applyNumberFormat="1" applyFont="1" applyFill="1" applyBorder="1" applyAlignment="1" applyProtection="1">
      <alignment horizontal="left" vertical="center" wrapText="1"/>
      <protection/>
    </xf>
    <xf numFmtId="0" fontId="49" fillId="0" borderId="16" xfId="0" applyNumberFormat="1" applyFont="1" applyFill="1" applyBorder="1" applyAlignment="1" applyProtection="1">
      <alignment horizontal="left" vertical="center"/>
      <protection/>
    </xf>
    <xf numFmtId="0" fontId="49" fillId="0" borderId="16" xfId="0" applyNumberFormat="1" applyFont="1" applyFill="1" applyBorder="1" applyAlignment="1" applyProtection="1">
      <alignment horizontal="left" vertical="center" wrapText="1"/>
      <protection/>
    </xf>
    <xf numFmtId="0" fontId="49" fillId="0" borderId="32" xfId="0" applyNumberFormat="1" applyFont="1" applyFill="1" applyBorder="1" applyAlignment="1" applyProtection="1">
      <alignment horizontal="left" vertical="center" wrapText="1"/>
      <protection/>
    </xf>
    <xf numFmtId="0" fontId="52" fillId="0" borderId="27" xfId="0" applyNumberFormat="1" applyFont="1" applyFill="1" applyBorder="1" applyAlignment="1" applyProtection="1">
      <alignment horizontal="left" vertical="center"/>
      <protection/>
    </xf>
    <xf numFmtId="0" fontId="52" fillId="0" borderId="35" xfId="0" applyNumberFormat="1" applyFont="1" applyFill="1" applyBorder="1" applyAlignment="1" applyProtection="1">
      <alignment horizontal="left" vertical="center"/>
      <protection/>
    </xf>
    <xf numFmtId="0" fontId="52" fillId="0" borderId="0" xfId="0" applyNumberFormat="1" applyFont="1" applyFill="1" applyBorder="1" applyAlignment="1" applyProtection="1">
      <alignment horizontal="left" vertical="center"/>
      <protection/>
    </xf>
    <xf numFmtId="0" fontId="52" fillId="0" borderId="36" xfId="0" applyNumberFormat="1" applyFont="1" applyFill="1" applyBorder="1" applyAlignment="1" applyProtection="1">
      <alignment horizontal="left" vertical="center"/>
      <protection/>
    </xf>
    <xf numFmtId="0" fontId="52" fillId="0" borderId="12" xfId="0" applyNumberFormat="1" applyFont="1" applyFill="1" applyBorder="1" applyAlignment="1" applyProtection="1">
      <alignment horizontal="left" vertical="center"/>
      <protection/>
    </xf>
    <xf numFmtId="0" fontId="52" fillId="0" borderId="18" xfId="0" applyNumberFormat="1" applyFont="1" applyFill="1" applyBorder="1" applyAlignment="1" applyProtection="1">
      <alignment horizontal="left" vertical="center"/>
      <protection/>
    </xf>
    <xf numFmtId="0" fontId="52" fillId="0" borderId="37" xfId="0" applyNumberFormat="1" applyFont="1" applyFill="1" applyBorder="1" applyAlignment="1" applyProtection="1">
      <alignment horizontal="left" vertical="center"/>
      <protection/>
    </xf>
    <xf numFmtId="0" fontId="52" fillId="0" borderId="38" xfId="0" applyNumberFormat="1" applyFont="1" applyFill="1" applyBorder="1" applyAlignment="1" applyProtection="1">
      <alignment horizontal="left" vertical="center"/>
      <protection/>
    </xf>
    <xf numFmtId="0" fontId="52" fillId="0" borderId="39" xfId="0" applyNumberFormat="1" applyFont="1" applyFill="1" applyBorder="1" applyAlignment="1" applyProtection="1">
      <alignment horizontal="left" vertical="center"/>
      <protection/>
    </xf>
    <xf numFmtId="0" fontId="51" fillId="33" borderId="40" xfId="0" applyNumberFormat="1" applyFont="1" applyFill="1" applyBorder="1" applyAlignment="1" applyProtection="1">
      <alignment horizontal="left" vertical="center"/>
      <protection/>
    </xf>
    <xf numFmtId="0" fontId="51" fillId="33" borderId="41" xfId="0" applyNumberFormat="1" applyFont="1" applyFill="1" applyBorder="1" applyAlignment="1" applyProtection="1">
      <alignment horizontal="left" vertical="center"/>
      <protection/>
    </xf>
    <xf numFmtId="0" fontId="51" fillId="33" borderId="26" xfId="0" applyNumberFormat="1" applyFont="1" applyFill="1" applyBorder="1" applyAlignment="1" applyProtection="1">
      <alignment horizontal="left" vertical="center"/>
      <protection/>
    </xf>
    <xf numFmtId="0" fontId="51" fillId="33" borderId="23" xfId="0" applyNumberFormat="1" applyFont="1" applyFill="1" applyBorder="1" applyAlignment="1" applyProtection="1">
      <alignment horizontal="left" vertical="center"/>
      <protection/>
    </xf>
    <xf numFmtId="0" fontId="52" fillId="0" borderId="23" xfId="0" applyNumberFormat="1" applyFont="1" applyFill="1" applyBorder="1" applyAlignment="1" applyProtection="1">
      <alignment horizontal="left" vertical="center"/>
      <protection/>
    </xf>
    <xf numFmtId="0" fontId="52" fillId="0" borderId="15" xfId="0" applyNumberFormat="1" applyFont="1" applyFill="1" applyBorder="1" applyAlignment="1" applyProtection="1">
      <alignment horizontal="left" vertical="center"/>
      <protection/>
    </xf>
    <xf numFmtId="0" fontId="52" fillId="0" borderId="10" xfId="0" applyNumberFormat="1" applyFont="1" applyFill="1" applyBorder="1" applyAlignment="1" applyProtection="1">
      <alignment horizontal="left" vertical="center"/>
      <protection/>
    </xf>
    <xf numFmtId="0" fontId="51" fillId="0" borderId="41" xfId="0" applyNumberFormat="1" applyFont="1" applyFill="1" applyBorder="1" applyAlignment="1" applyProtection="1">
      <alignment horizontal="left" vertical="center"/>
      <protection/>
    </xf>
    <xf numFmtId="0" fontId="51" fillId="0" borderId="17" xfId="0" applyNumberFormat="1" applyFont="1" applyFill="1" applyBorder="1" applyAlignment="1" applyProtection="1">
      <alignment horizontal="left" vertical="center"/>
      <protection/>
    </xf>
    <xf numFmtId="0" fontId="51" fillId="0" borderId="23" xfId="0" applyNumberFormat="1" applyFont="1" applyFill="1" applyBorder="1" applyAlignment="1" applyProtection="1">
      <alignment horizontal="left" vertical="center"/>
      <protection/>
    </xf>
    <xf numFmtId="0" fontId="51" fillId="0" borderId="15" xfId="0" applyNumberFormat="1" applyFont="1" applyFill="1" applyBorder="1" applyAlignment="1" applyProtection="1">
      <alignment horizontal="left" vertical="center"/>
      <protection/>
    </xf>
    <xf numFmtId="0" fontId="51" fillId="0" borderId="26" xfId="0" applyNumberFormat="1" applyFont="1" applyFill="1" applyBorder="1" applyAlignment="1" applyProtection="1">
      <alignment horizontal="left" vertical="center"/>
      <protection/>
    </xf>
    <xf numFmtId="0" fontId="56" fillId="0" borderId="41" xfId="0" applyNumberFormat="1" applyFont="1" applyFill="1" applyBorder="1" applyAlignment="1" applyProtection="1">
      <alignment horizontal="left" vertical="center"/>
      <protection/>
    </xf>
    <xf numFmtId="0" fontId="56" fillId="0" borderId="17" xfId="0" applyNumberFormat="1" applyFont="1" applyFill="1" applyBorder="1" applyAlignment="1" applyProtection="1">
      <alignment horizontal="left" vertical="center"/>
      <protection/>
    </xf>
    <xf numFmtId="0" fontId="51" fillId="0" borderId="16" xfId="0" applyNumberFormat="1" applyFont="1" applyFill="1" applyBorder="1" applyAlignment="1" applyProtection="1">
      <alignment horizontal="left" vertical="center"/>
      <protection/>
    </xf>
    <xf numFmtId="0" fontId="51" fillId="0" borderId="10" xfId="0" applyNumberFormat="1" applyFont="1" applyFill="1" applyBorder="1" applyAlignment="1" applyProtection="1">
      <alignment horizontal="left" vertical="center"/>
      <protection/>
    </xf>
    <xf numFmtId="0" fontId="51" fillId="0" borderId="40" xfId="0" applyNumberFormat="1" applyFont="1" applyFill="1" applyBorder="1" applyAlignment="1" applyProtection="1">
      <alignment horizontal="left" vertical="center"/>
      <protection/>
    </xf>
    <xf numFmtId="1" fontId="49" fillId="0" borderId="10" xfId="0" applyNumberFormat="1" applyFont="1" applyFill="1" applyBorder="1" applyAlignment="1" applyProtection="1">
      <alignment horizontal="left" vertical="center"/>
      <protection/>
    </xf>
    <xf numFmtId="0" fontId="49" fillId="0" borderId="10" xfId="0" applyNumberFormat="1" applyFont="1" applyFill="1" applyBorder="1" applyAlignment="1" applyProtection="1">
      <alignment horizontal="left" vertical="center" wrapText="1"/>
      <protection/>
    </xf>
    <xf numFmtId="0" fontId="49" fillId="0" borderId="15" xfId="0" applyNumberFormat="1" applyFont="1" applyFill="1" applyBorder="1" applyAlignment="1" applyProtection="1">
      <alignment horizontal="left" vertical="center"/>
      <protection/>
    </xf>
    <xf numFmtId="0" fontId="57" fillId="0" borderId="0" xfId="0" applyNumberFormat="1" applyFont="1" applyFill="1" applyBorder="1" applyAlignment="1" applyProtection="1">
      <alignment horizontal="center" vertical="center"/>
      <protection/>
    </xf>
    <xf numFmtId="0" fontId="55" fillId="0" borderId="0" xfId="0" applyNumberFormat="1" applyFont="1" applyFill="1" applyBorder="1" applyAlignment="1" applyProtection="1">
      <alignment horizontal="center" vertical="center" wrapText="1"/>
      <protection/>
    </xf>
    <xf numFmtId="0" fontId="49" fillId="0" borderId="26" xfId="0" applyNumberFormat="1" applyFont="1" applyFill="1" applyBorder="1" applyAlignment="1" applyProtection="1">
      <alignment horizontal="left" vertical="center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 [0]" xfId="35"/>
    <cellStyle name="Hyperlink" xfId="36"/>
    <cellStyle name="Kontrolní buňka" xfId="37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2</xdr:col>
      <xdr:colOff>57150</xdr:colOff>
      <xdr:row>0</xdr:row>
      <xdr:rowOff>666750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180975</xdr:colOff>
      <xdr:row>0</xdr:row>
      <xdr:rowOff>666750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219"/>
  <sheetViews>
    <sheetView tabSelected="1" showOutlineSymbols="0" zoomScalePageLayoutView="0" workbookViewId="0" topLeftCell="A1">
      <pane ySplit="11" topLeftCell="A12" activePane="bottomLeft" state="frozen"/>
      <selection pane="topLeft" activeCell="A219" sqref="A219:N219"/>
      <selection pane="bottomLeft" activeCell="D8" sqref="D8:E9"/>
    </sheetView>
  </sheetViews>
  <sheetFormatPr defaultColWidth="17" defaultRowHeight="15" customHeight="1"/>
  <cols>
    <col min="1" max="1" width="4.3984375" style="0" customWidth="1"/>
    <col min="2" max="2" width="8.3984375" style="0" customWidth="1"/>
    <col min="3" max="3" width="20" style="0" customWidth="1"/>
    <col min="4" max="4" width="1.796875" style="0" customWidth="1"/>
    <col min="5" max="5" width="98.19921875" style="0" customWidth="1"/>
    <col min="6" max="6" width="9" style="0" customWidth="1"/>
    <col min="7" max="7" width="14.3984375" style="0" customWidth="1"/>
    <col min="8" max="8" width="13.3984375" style="0" customWidth="1"/>
    <col min="9" max="11" width="17.59765625" style="0" customWidth="1"/>
    <col min="12" max="13" width="13.19921875" style="0" customWidth="1"/>
    <col min="14" max="14" width="16.3984375" style="0" customWidth="1"/>
    <col min="15" max="24" width="17" style="0" customWidth="1"/>
    <col min="25" max="74" width="17" style="0" hidden="1" customWidth="1"/>
  </cols>
  <sheetData>
    <row r="1" spans="1:14" ht="54.75" customHeight="1">
      <c r="A1" s="82" t="s">
        <v>306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</row>
    <row r="2" spans="1:14" ht="15" customHeight="1">
      <c r="A2" s="83" t="s">
        <v>35</v>
      </c>
      <c r="B2" s="75"/>
      <c r="C2" s="75"/>
      <c r="D2" s="80" t="s">
        <v>588</v>
      </c>
      <c r="E2" s="81"/>
      <c r="F2" s="75" t="s">
        <v>4</v>
      </c>
      <c r="G2" s="75"/>
      <c r="H2" s="75" t="s">
        <v>525</v>
      </c>
      <c r="I2" s="86" t="s">
        <v>480</v>
      </c>
      <c r="J2" s="75" t="s">
        <v>266</v>
      </c>
      <c r="K2" s="75"/>
      <c r="L2" s="75"/>
      <c r="M2" s="75"/>
      <c r="N2" s="76"/>
    </row>
    <row r="3" spans="1:14" ht="15" customHeight="1">
      <c r="A3" s="84"/>
      <c r="B3" s="64"/>
      <c r="C3" s="64"/>
      <c r="D3" s="66"/>
      <c r="E3" s="66"/>
      <c r="F3" s="64"/>
      <c r="G3" s="64"/>
      <c r="H3" s="64"/>
      <c r="I3" s="64"/>
      <c r="J3" s="64"/>
      <c r="K3" s="64"/>
      <c r="L3" s="64"/>
      <c r="M3" s="64"/>
      <c r="N3" s="77"/>
    </row>
    <row r="4" spans="1:14" ht="15" customHeight="1">
      <c r="A4" s="85" t="s">
        <v>307</v>
      </c>
      <c r="B4" s="64"/>
      <c r="C4" s="64"/>
      <c r="D4" s="67" t="s">
        <v>582</v>
      </c>
      <c r="E4" s="64"/>
      <c r="F4" s="64" t="s">
        <v>507</v>
      </c>
      <c r="G4" s="64"/>
      <c r="H4" s="64" t="s">
        <v>525</v>
      </c>
      <c r="I4" s="67" t="s">
        <v>389</v>
      </c>
      <c r="J4" s="64" t="s">
        <v>266</v>
      </c>
      <c r="K4" s="64"/>
      <c r="L4" s="64"/>
      <c r="M4" s="64"/>
      <c r="N4" s="77"/>
    </row>
    <row r="5" spans="1:14" ht="15" customHeight="1">
      <c r="A5" s="84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77"/>
    </row>
    <row r="6" spans="1:14" ht="15" customHeight="1">
      <c r="A6" s="85" t="s">
        <v>45</v>
      </c>
      <c r="B6" s="64"/>
      <c r="C6" s="64"/>
      <c r="D6" s="67" t="s">
        <v>238</v>
      </c>
      <c r="E6" s="64"/>
      <c r="F6" s="64" t="s">
        <v>185</v>
      </c>
      <c r="G6" s="64"/>
      <c r="H6" s="64" t="s">
        <v>525</v>
      </c>
      <c r="I6" s="67" t="s">
        <v>499</v>
      </c>
      <c r="J6" s="64" t="s">
        <v>266</v>
      </c>
      <c r="K6" s="64"/>
      <c r="L6" s="64"/>
      <c r="M6" s="64"/>
      <c r="N6" s="77"/>
    </row>
    <row r="7" spans="1:14" ht="15" customHeight="1">
      <c r="A7" s="84"/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77"/>
    </row>
    <row r="8" spans="1:14" ht="15" customHeight="1">
      <c r="A8" s="85" t="s">
        <v>279</v>
      </c>
      <c r="B8" s="64"/>
      <c r="C8" s="64"/>
      <c r="D8" s="67" t="s">
        <v>525</v>
      </c>
      <c r="E8" s="64"/>
      <c r="F8" s="64" t="s">
        <v>317</v>
      </c>
      <c r="G8" s="64"/>
      <c r="H8" s="64" t="s">
        <v>189</v>
      </c>
      <c r="I8" s="67" t="s">
        <v>376</v>
      </c>
      <c r="J8" s="64" t="s">
        <v>266</v>
      </c>
      <c r="K8" s="64"/>
      <c r="L8" s="64"/>
      <c r="M8" s="64"/>
      <c r="N8" s="77"/>
    </row>
    <row r="9" spans="1:14" ht="15" customHeight="1">
      <c r="A9" s="84"/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77"/>
    </row>
    <row r="10" spans="1:64" ht="15" customHeight="1">
      <c r="A10" s="48" t="s">
        <v>41</v>
      </c>
      <c r="B10" s="25" t="s">
        <v>426</v>
      </c>
      <c r="C10" s="25" t="s">
        <v>190</v>
      </c>
      <c r="D10" s="78" t="s">
        <v>620</v>
      </c>
      <c r="E10" s="79"/>
      <c r="F10" s="25" t="s">
        <v>199</v>
      </c>
      <c r="G10" s="44" t="s">
        <v>344</v>
      </c>
      <c r="H10" s="60" t="s">
        <v>182</v>
      </c>
      <c r="I10" s="72" t="s">
        <v>359</v>
      </c>
      <c r="J10" s="73"/>
      <c r="K10" s="74"/>
      <c r="L10" s="73" t="s">
        <v>87</v>
      </c>
      <c r="M10" s="73"/>
      <c r="N10" s="35" t="s">
        <v>150</v>
      </c>
      <c r="BK10" s="51" t="s">
        <v>225</v>
      </c>
      <c r="BL10" s="9" t="s">
        <v>297</v>
      </c>
    </row>
    <row r="11" spans="1:62" ht="15" customHeight="1">
      <c r="A11" s="45" t="s">
        <v>525</v>
      </c>
      <c r="B11" s="31" t="s">
        <v>525</v>
      </c>
      <c r="C11" s="31" t="s">
        <v>525</v>
      </c>
      <c r="D11" s="70" t="s">
        <v>578</v>
      </c>
      <c r="E11" s="71"/>
      <c r="F11" s="31" t="s">
        <v>525</v>
      </c>
      <c r="G11" s="31" t="s">
        <v>525</v>
      </c>
      <c r="H11" s="6" t="s">
        <v>540</v>
      </c>
      <c r="I11" s="54" t="s">
        <v>26</v>
      </c>
      <c r="J11" s="5" t="s">
        <v>108</v>
      </c>
      <c r="K11" s="24" t="s">
        <v>56</v>
      </c>
      <c r="L11" s="5" t="s">
        <v>191</v>
      </c>
      <c r="M11" s="6" t="s">
        <v>56</v>
      </c>
      <c r="N11" s="62" t="s">
        <v>142</v>
      </c>
      <c r="Z11" s="51" t="s">
        <v>450</v>
      </c>
      <c r="AA11" s="51" t="s">
        <v>349</v>
      </c>
      <c r="AB11" s="51" t="s">
        <v>597</v>
      </c>
      <c r="AC11" s="51" t="s">
        <v>159</v>
      </c>
      <c r="AD11" s="51" t="s">
        <v>486</v>
      </c>
      <c r="AE11" s="51" t="s">
        <v>212</v>
      </c>
      <c r="AF11" s="51" t="s">
        <v>513</v>
      </c>
      <c r="AG11" s="51" t="s">
        <v>247</v>
      </c>
      <c r="AH11" s="51" t="s">
        <v>144</v>
      </c>
      <c r="BH11" s="51" t="s">
        <v>451</v>
      </c>
      <c r="BI11" s="51" t="s">
        <v>585</v>
      </c>
      <c r="BJ11" s="51" t="s">
        <v>628</v>
      </c>
    </row>
    <row r="12" spans="1:14" ht="15" customHeight="1">
      <c r="A12" s="53" t="s">
        <v>392</v>
      </c>
      <c r="B12" s="32" t="s">
        <v>428</v>
      </c>
      <c r="C12" s="32" t="s">
        <v>392</v>
      </c>
      <c r="D12" s="68" t="s">
        <v>173</v>
      </c>
      <c r="E12" s="68"/>
      <c r="F12" s="8" t="s">
        <v>525</v>
      </c>
      <c r="G12" s="8" t="s">
        <v>525</v>
      </c>
      <c r="H12" s="8" t="s">
        <v>525</v>
      </c>
      <c r="I12" s="27">
        <f>I13+I20+I22+I24</f>
        <v>0</v>
      </c>
      <c r="J12" s="27">
        <f>J13+J20+J22+J24</f>
        <v>0</v>
      </c>
      <c r="K12" s="27">
        <f>K13+K20+K22+K24</f>
        <v>0</v>
      </c>
      <c r="L12" s="59" t="s">
        <v>392</v>
      </c>
      <c r="M12" s="27">
        <f>M13+M20+M22+M24</f>
        <v>0.09651</v>
      </c>
      <c r="N12" s="30" t="s">
        <v>392</v>
      </c>
    </row>
    <row r="13" spans="1:47" ht="15" customHeight="1">
      <c r="A13" s="61" t="s">
        <v>392</v>
      </c>
      <c r="B13" s="36" t="s">
        <v>428</v>
      </c>
      <c r="C13" s="36" t="s">
        <v>407</v>
      </c>
      <c r="D13" s="68" t="s">
        <v>278</v>
      </c>
      <c r="E13" s="68"/>
      <c r="F13" s="1" t="s">
        <v>525</v>
      </c>
      <c r="G13" s="1" t="s">
        <v>525</v>
      </c>
      <c r="H13" s="1" t="s">
        <v>525</v>
      </c>
      <c r="I13" s="33">
        <f>SUM(I14:I19)</f>
        <v>0</v>
      </c>
      <c r="J13" s="33">
        <f>SUM(J14:J19)</f>
        <v>0</v>
      </c>
      <c r="K13" s="33">
        <f>SUM(K14:K19)</f>
        <v>0</v>
      </c>
      <c r="L13" s="51" t="s">
        <v>392</v>
      </c>
      <c r="M13" s="33">
        <f>SUM(M14:M19)</f>
        <v>0.09587999999999999</v>
      </c>
      <c r="N13" s="58" t="s">
        <v>392</v>
      </c>
      <c r="AI13" s="51" t="s">
        <v>428</v>
      </c>
      <c r="AS13" s="33">
        <f>SUM(AJ14:AJ19)</f>
        <v>0</v>
      </c>
      <c r="AT13" s="33">
        <f>SUM(AK14:AK19)</f>
        <v>0</v>
      </c>
      <c r="AU13" s="33">
        <f>SUM(AL14:AL19)</f>
        <v>0</v>
      </c>
    </row>
    <row r="14" spans="1:64" ht="15" customHeight="1">
      <c r="A14" s="26" t="s">
        <v>570</v>
      </c>
      <c r="B14" s="21" t="s">
        <v>428</v>
      </c>
      <c r="C14" s="21" t="s">
        <v>539</v>
      </c>
      <c r="D14" s="64" t="s">
        <v>512</v>
      </c>
      <c r="E14" s="64"/>
      <c r="F14" s="21" t="s">
        <v>139</v>
      </c>
      <c r="G14" s="19">
        <v>3</v>
      </c>
      <c r="H14" s="19">
        <v>0</v>
      </c>
      <c r="I14" s="19">
        <f aca="true" t="shared" si="0" ref="I14:I19">G14*AO14</f>
        <v>0</v>
      </c>
      <c r="J14" s="19">
        <f aca="true" t="shared" si="1" ref="J14:J19">G14*AP14</f>
        <v>0</v>
      </c>
      <c r="K14" s="19">
        <f aca="true" t="shared" si="2" ref="K14:K19">G14*H14</f>
        <v>0</v>
      </c>
      <c r="L14" s="19">
        <v>0.00061</v>
      </c>
      <c r="M14" s="19">
        <f aca="true" t="shared" si="3" ref="M14:M19">G14*L14</f>
        <v>0.00183</v>
      </c>
      <c r="N14" s="41" t="s">
        <v>476</v>
      </c>
      <c r="Z14" s="19">
        <f aca="true" t="shared" si="4" ref="Z14:Z19">IF(AQ14="5",BJ14,0)</f>
        <v>0</v>
      </c>
      <c r="AB14" s="19">
        <f aca="true" t="shared" si="5" ref="AB14:AB19">IF(AQ14="1",BH14,0)</f>
        <v>0</v>
      </c>
      <c r="AC14" s="19">
        <f aca="true" t="shared" si="6" ref="AC14:AC19">IF(AQ14="1",BI14,0)</f>
        <v>0</v>
      </c>
      <c r="AD14" s="19">
        <f aca="true" t="shared" si="7" ref="AD14:AD19">IF(AQ14="7",BH14,0)</f>
        <v>0</v>
      </c>
      <c r="AE14" s="19">
        <f aca="true" t="shared" si="8" ref="AE14:AE19">IF(AQ14="7",BI14,0)</f>
        <v>0</v>
      </c>
      <c r="AF14" s="19">
        <f aca="true" t="shared" si="9" ref="AF14:AF19">IF(AQ14="2",BH14,0)</f>
        <v>0</v>
      </c>
      <c r="AG14" s="19">
        <f aca="true" t="shared" si="10" ref="AG14:AG19">IF(AQ14="2",BI14,0)</f>
        <v>0</v>
      </c>
      <c r="AH14" s="19">
        <f aca="true" t="shared" si="11" ref="AH14:AH19">IF(AQ14="0",BJ14,0)</f>
        <v>0</v>
      </c>
      <c r="AI14" s="51" t="s">
        <v>428</v>
      </c>
      <c r="AJ14" s="19">
        <f aca="true" t="shared" si="12" ref="AJ14:AJ19">IF(AN14=0,K14,0)</f>
        <v>0</v>
      </c>
      <c r="AK14" s="19">
        <f aca="true" t="shared" si="13" ref="AK14:AK19">IF(AN14=15,K14,0)</f>
        <v>0</v>
      </c>
      <c r="AL14" s="19">
        <f aca="true" t="shared" si="14" ref="AL14:AL19">IF(AN14=21,K14,0)</f>
        <v>0</v>
      </c>
      <c r="AN14" s="19">
        <v>21</v>
      </c>
      <c r="AO14" s="19">
        <f>H14*0.814691011235955</f>
        <v>0</v>
      </c>
      <c r="AP14" s="19">
        <f>H14*(1-0.814691011235955)</f>
        <v>0</v>
      </c>
      <c r="AQ14" s="3" t="s">
        <v>575</v>
      </c>
      <c r="AV14" s="19">
        <f aca="true" t="shared" si="15" ref="AV14:AV19">AW14+AX14</f>
        <v>0</v>
      </c>
      <c r="AW14" s="19">
        <f aca="true" t="shared" si="16" ref="AW14:AW19">G14*AO14</f>
        <v>0</v>
      </c>
      <c r="AX14" s="19">
        <f aca="true" t="shared" si="17" ref="AX14:AX19">G14*AP14</f>
        <v>0</v>
      </c>
      <c r="AY14" s="3" t="s">
        <v>268</v>
      </c>
      <c r="AZ14" s="3" t="s">
        <v>483</v>
      </c>
      <c r="BA14" s="51" t="s">
        <v>626</v>
      </c>
      <c r="BC14" s="19">
        <f aca="true" t="shared" si="18" ref="BC14:BC19">AW14+AX14</f>
        <v>0</v>
      </c>
      <c r="BD14" s="19">
        <f aca="true" t="shared" si="19" ref="BD14:BD19">H14/(100-BE14)*100</f>
        <v>0</v>
      </c>
      <c r="BE14" s="19">
        <v>0</v>
      </c>
      <c r="BF14" s="19">
        <f aca="true" t="shared" si="20" ref="BF14:BF19">M14</f>
        <v>0.00183</v>
      </c>
      <c r="BH14" s="19">
        <f aca="true" t="shared" si="21" ref="BH14:BH19">G14*AO14</f>
        <v>0</v>
      </c>
      <c r="BI14" s="19">
        <f aca="true" t="shared" si="22" ref="BI14:BI19">G14*AP14</f>
        <v>0</v>
      </c>
      <c r="BJ14" s="19">
        <f aca="true" t="shared" si="23" ref="BJ14:BJ19">G14*H14</f>
        <v>0</v>
      </c>
      <c r="BK14" s="19"/>
      <c r="BL14" s="19">
        <v>723</v>
      </c>
    </row>
    <row r="15" spans="1:64" ht="15" customHeight="1">
      <c r="A15" s="26" t="s">
        <v>388</v>
      </c>
      <c r="B15" s="21" t="s">
        <v>428</v>
      </c>
      <c r="C15" s="21" t="s">
        <v>96</v>
      </c>
      <c r="D15" s="64" t="s">
        <v>485</v>
      </c>
      <c r="E15" s="64"/>
      <c r="F15" s="21" t="s">
        <v>471</v>
      </c>
      <c r="G15" s="19">
        <v>6</v>
      </c>
      <c r="H15" s="19">
        <v>0</v>
      </c>
      <c r="I15" s="19">
        <f t="shared" si="0"/>
        <v>0</v>
      </c>
      <c r="J15" s="19">
        <f t="shared" si="1"/>
        <v>0</v>
      </c>
      <c r="K15" s="19">
        <f t="shared" si="2"/>
        <v>0</v>
      </c>
      <c r="L15" s="19">
        <v>0.01249</v>
      </c>
      <c r="M15" s="19">
        <f t="shared" si="3"/>
        <v>0.07493999999999999</v>
      </c>
      <c r="N15" s="41" t="s">
        <v>476</v>
      </c>
      <c r="Z15" s="19">
        <f t="shared" si="4"/>
        <v>0</v>
      </c>
      <c r="AB15" s="19">
        <f t="shared" si="5"/>
        <v>0</v>
      </c>
      <c r="AC15" s="19">
        <f t="shared" si="6"/>
        <v>0</v>
      </c>
      <c r="AD15" s="19">
        <f t="shared" si="7"/>
        <v>0</v>
      </c>
      <c r="AE15" s="19">
        <f t="shared" si="8"/>
        <v>0</v>
      </c>
      <c r="AF15" s="19">
        <f t="shared" si="9"/>
        <v>0</v>
      </c>
      <c r="AG15" s="19">
        <f t="shared" si="10"/>
        <v>0</v>
      </c>
      <c r="AH15" s="19">
        <f t="shared" si="11"/>
        <v>0</v>
      </c>
      <c r="AI15" s="51" t="s">
        <v>428</v>
      </c>
      <c r="AJ15" s="19">
        <f t="shared" si="12"/>
        <v>0</v>
      </c>
      <c r="AK15" s="19">
        <f t="shared" si="13"/>
        <v>0</v>
      </c>
      <c r="AL15" s="19">
        <f t="shared" si="14"/>
        <v>0</v>
      </c>
      <c r="AN15" s="19">
        <v>21</v>
      </c>
      <c r="AO15" s="19">
        <f>H15*0.486977077363897</f>
        <v>0</v>
      </c>
      <c r="AP15" s="19">
        <f>H15*(1-0.486977077363897)</f>
        <v>0</v>
      </c>
      <c r="AQ15" s="3" t="s">
        <v>575</v>
      </c>
      <c r="AV15" s="19">
        <f t="shared" si="15"/>
        <v>0</v>
      </c>
      <c r="AW15" s="19">
        <f t="shared" si="16"/>
        <v>0</v>
      </c>
      <c r="AX15" s="19">
        <f t="shared" si="17"/>
        <v>0</v>
      </c>
      <c r="AY15" s="3" t="s">
        <v>268</v>
      </c>
      <c r="AZ15" s="3" t="s">
        <v>483</v>
      </c>
      <c r="BA15" s="51" t="s">
        <v>626</v>
      </c>
      <c r="BC15" s="19">
        <f t="shared" si="18"/>
        <v>0</v>
      </c>
      <c r="BD15" s="19">
        <f t="shared" si="19"/>
        <v>0</v>
      </c>
      <c r="BE15" s="19">
        <v>0</v>
      </c>
      <c r="BF15" s="19">
        <f t="shared" si="20"/>
        <v>0.07493999999999999</v>
      </c>
      <c r="BH15" s="19">
        <f t="shared" si="21"/>
        <v>0</v>
      </c>
      <c r="BI15" s="19">
        <f t="shared" si="22"/>
        <v>0</v>
      </c>
      <c r="BJ15" s="19">
        <f t="shared" si="23"/>
        <v>0</v>
      </c>
      <c r="BK15" s="19"/>
      <c r="BL15" s="19">
        <v>723</v>
      </c>
    </row>
    <row r="16" spans="1:64" ht="15" customHeight="1">
      <c r="A16" s="26" t="s">
        <v>493</v>
      </c>
      <c r="B16" s="21" t="s">
        <v>428</v>
      </c>
      <c r="C16" s="21" t="s">
        <v>241</v>
      </c>
      <c r="D16" s="64" t="s">
        <v>551</v>
      </c>
      <c r="E16" s="64"/>
      <c r="F16" s="21" t="s">
        <v>198</v>
      </c>
      <c r="G16" s="19">
        <v>3</v>
      </c>
      <c r="H16" s="19">
        <v>0</v>
      </c>
      <c r="I16" s="19">
        <f t="shared" si="0"/>
        <v>0</v>
      </c>
      <c r="J16" s="19">
        <f t="shared" si="1"/>
        <v>0</v>
      </c>
      <c r="K16" s="19">
        <f t="shared" si="2"/>
        <v>0</v>
      </c>
      <c r="L16" s="19">
        <v>0.00637</v>
      </c>
      <c r="M16" s="19">
        <f t="shared" si="3"/>
        <v>0.01911</v>
      </c>
      <c r="N16" s="41" t="s">
        <v>476</v>
      </c>
      <c r="Z16" s="19">
        <f t="shared" si="4"/>
        <v>0</v>
      </c>
      <c r="AB16" s="19">
        <f t="shared" si="5"/>
        <v>0</v>
      </c>
      <c r="AC16" s="19">
        <f t="shared" si="6"/>
        <v>0</v>
      </c>
      <c r="AD16" s="19">
        <f t="shared" si="7"/>
        <v>0</v>
      </c>
      <c r="AE16" s="19">
        <f t="shared" si="8"/>
        <v>0</v>
      </c>
      <c r="AF16" s="19">
        <f t="shared" si="9"/>
        <v>0</v>
      </c>
      <c r="AG16" s="19">
        <f t="shared" si="10"/>
        <v>0</v>
      </c>
      <c r="AH16" s="19">
        <f t="shared" si="11"/>
        <v>0</v>
      </c>
      <c r="AI16" s="51" t="s">
        <v>428</v>
      </c>
      <c r="AJ16" s="19">
        <f t="shared" si="12"/>
        <v>0</v>
      </c>
      <c r="AK16" s="19">
        <f t="shared" si="13"/>
        <v>0</v>
      </c>
      <c r="AL16" s="19">
        <f t="shared" si="14"/>
        <v>0</v>
      </c>
      <c r="AN16" s="19">
        <v>21</v>
      </c>
      <c r="AO16" s="19">
        <f>H16*0.566894845360825</f>
        <v>0</v>
      </c>
      <c r="AP16" s="19">
        <f>H16*(1-0.566894845360825)</f>
        <v>0</v>
      </c>
      <c r="AQ16" s="3" t="s">
        <v>575</v>
      </c>
      <c r="AV16" s="19">
        <f t="shared" si="15"/>
        <v>0</v>
      </c>
      <c r="AW16" s="19">
        <f t="shared" si="16"/>
        <v>0</v>
      </c>
      <c r="AX16" s="19">
        <f t="shared" si="17"/>
        <v>0</v>
      </c>
      <c r="AY16" s="3" t="s">
        <v>268</v>
      </c>
      <c r="AZ16" s="3" t="s">
        <v>483</v>
      </c>
      <c r="BA16" s="51" t="s">
        <v>626</v>
      </c>
      <c r="BC16" s="19">
        <f t="shared" si="18"/>
        <v>0</v>
      </c>
      <c r="BD16" s="19">
        <f t="shared" si="19"/>
        <v>0</v>
      </c>
      <c r="BE16" s="19">
        <v>0</v>
      </c>
      <c r="BF16" s="19">
        <f t="shared" si="20"/>
        <v>0.01911</v>
      </c>
      <c r="BH16" s="19">
        <f t="shared" si="21"/>
        <v>0</v>
      </c>
      <c r="BI16" s="19">
        <f t="shared" si="22"/>
        <v>0</v>
      </c>
      <c r="BJ16" s="19">
        <f t="shared" si="23"/>
        <v>0</v>
      </c>
      <c r="BK16" s="19"/>
      <c r="BL16" s="19">
        <v>723</v>
      </c>
    </row>
    <row r="17" spans="1:64" ht="15" customHeight="1">
      <c r="A17" s="26" t="s">
        <v>63</v>
      </c>
      <c r="B17" s="21" t="s">
        <v>428</v>
      </c>
      <c r="C17" s="21" t="s">
        <v>170</v>
      </c>
      <c r="D17" s="64" t="s">
        <v>331</v>
      </c>
      <c r="E17" s="64"/>
      <c r="F17" s="21" t="s">
        <v>396</v>
      </c>
      <c r="G17" s="19">
        <v>2</v>
      </c>
      <c r="H17" s="19">
        <v>0</v>
      </c>
      <c r="I17" s="19">
        <f t="shared" si="0"/>
        <v>0</v>
      </c>
      <c r="J17" s="19">
        <f t="shared" si="1"/>
        <v>0</v>
      </c>
      <c r="K17" s="19">
        <f t="shared" si="2"/>
        <v>0</v>
      </c>
      <c r="L17" s="19">
        <v>0</v>
      </c>
      <c r="M17" s="19">
        <f t="shared" si="3"/>
        <v>0</v>
      </c>
      <c r="N17" s="41" t="s">
        <v>476</v>
      </c>
      <c r="Z17" s="19">
        <f t="shared" si="4"/>
        <v>0</v>
      </c>
      <c r="AB17" s="19">
        <f t="shared" si="5"/>
        <v>0</v>
      </c>
      <c r="AC17" s="19">
        <f t="shared" si="6"/>
        <v>0</v>
      </c>
      <c r="AD17" s="19">
        <f t="shared" si="7"/>
        <v>0</v>
      </c>
      <c r="AE17" s="19">
        <f t="shared" si="8"/>
        <v>0</v>
      </c>
      <c r="AF17" s="19">
        <f t="shared" si="9"/>
        <v>0</v>
      </c>
      <c r="AG17" s="19">
        <f t="shared" si="10"/>
        <v>0</v>
      </c>
      <c r="AH17" s="19">
        <f t="shared" si="11"/>
        <v>0</v>
      </c>
      <c r="AI17" s="51" t="s">
        <v>428</v>
      </c>
      <c r="AJ17" s="19">
        <f t="shared" si="12"/>
        <v>0</v>
      </c>
      <c r="AK17" s="19">
        <f t="shared" si="13"/>
        <v>0</v>
      </c>
      <c r="AL17" s="19">
        <f t="shared" si="14"/>
        <v>0</v>
      </c>
      <c r="AN17" s="19">
        <v>21</v>
      </c>
      <c r="AO17" s="19">
        <f>H17*0.0610328638497653</f>
        <v>0</v>
      </c>
      <c r="AP17" s="19">
        <f>H17*(1-0.0610328638497653)</f>
        <v>0</v>
      </c>
      <c r="AQ17" s="3" t="s">
        <v>575</v>
      </c>
      <c r="AV17" s="19">
        <f t="shared" si="15"/>
        <v>0</v>
      </c>
      <c r="AW17" s="19">
        <f t="shared" si="16"/>
        <v>0</v>
      </c>
      <c r="AX17" s="19">
        <f t="shared" si="17"/>
        <v>0</v>
      </c>
      <c r="AY17" s="3" t="s">
        <v>268</v>
      </c>
      <c r="AZ17" s="3" t="s">
        <v>483</v>
      </c>
      <c r="BA17" s="51" t="s">
        <v>626</v>
      </c>
      <c r="BC17" s="19">
        <f t="shared" si="18"/>
        <v>0</v>
      </c>
      <c r="BD17" s="19">
        <f t="shared" si="19"/>
        <v>0</v>
      </c>
      <c r="BE17" s="19">
        <v>0</v>
      </c>
      <c r="BF17" s="19">
        <f t="shared" si="20"/>
        <v>0</v>
      </c>
      <c r="BH17" s="19">
        <f t="shared" si="21"/>
        <v>0</v>
      </c>
      <c r="BI17" s="19">
        <f t="shared" si="22"/>
        <v>0</v>
      </c>
      <c r="BJ17" s="19">
        <f t="shared" si="23"/>
        <v>0</v>
      </c>
      <c r="BK17" s="19"/>
      <c r="BL17" s="19">
        <v>723</v>
      </c>
    </row>
    <row r="18" spans="1:64" ht="15" customHeight="1">
      <c r="A18" s="26" t="s">
        <v>304</v>
      </c>
      <c r="B18" s="21" t="s">
        <v>428</v>
      </c>
      <c r="C18" s="21" t="s">
        <v>136</v>
      </c>
      <c r="D18" s="64" t="s">
        <v>184</v>
      </c>
      <c r="E18" s="64"/>
      <c r="F18" s="21" t="s">
        <v>396</v>
      </c>
      <c r="G18" s="19">
        <v>3</v>
      </c>
      <c r="H18" s="19">
        <v>0</v>
      </c>
      <c r="I18" s="19">
        <f t="shared" si="0"/>
        <v>0</v>
      </c>
      <c r="J18" s="19">
        <f t="shared" si="1"/>
        <v>0</v>
      </c>
      <c r="K18" s="19">
        <f t="shared" si="2"/>
        <v>0</v>
      </c>
      <c r="L18" s="19">
        <v>0</v>
      </c>
      <c r="M18" s="19">
        <f t="shared" si="3"/>
        <v>0</v>
      </c>
      <c r="N18" s="41" t="s">
        <v>476</v>
      </c>
      <c r="Z18" s="19">
        <f t="shared" si="4"/>
        <v>0</v>
      </c>
      <c r="AB18" s="19">
        <f t="shared" si="5"/>
        <v>0</v>
      </c>
      <c r="AC18" s="19">
        <f t="shared" si="6"/>
        <v>0</v>
      </c>
      <c r="AD18" s="19">
        <f t="shared" si="7"/>
        <v>0</v>
      </c>
      <c r="AE18" s="19">
        <f t="shared" si="8"/>
        <v>0</v>
      </c>
      <c r="AF18" s="19">
        <f t="shared" si="9"/>
        <v>0</v>
      </c>
      <c r="AG18" s="19">
        <f t="shared" si="10"/>
        <v>0</v>
      </c>
      <c r="AH18" s="19">
        <f t="shared" si="11"/>
        <v>0</v>
      </c>
      <c r="AI18" s="51" t="s">
        <v>428</v>
      </c>
      <c r="AJ18" s="19">
        <f t="shared" si="12"/>
        <v>0</v>
      </c>
      <c r="AK18" s="19">
        <f t="shared" si="13"/>
        <v>0</v>
      </c>
      <c r="AL18" s="19">
        <f t="shared" si="14"/>
        <v>0</v>
      </c>
      <c r="AN18" s="19">
        <v>21</v>
      </c>
      <c r="AO18" s="19">
        <f>H18*0.207547169811321</f>
        <v>0</v>
      </c>
      <c r="AP18" s="19">
        <f>H18*(1-0.207547169811321)</f>
        <v>0</v>
      </c>
      <c r="AQ18" s="3" t="s">
        <v>575</v>
      </c>
      <c r="AV18" s="19">
        <f t="shared" si="15"/>
        <v>0</v>
      </c>
      <c r="AW18" s="19">
        <f t="shared" si="16"/>
        <v>0</v>
      </c>
      <c r="AX18" s="19">
        <f t="shared" si="17"/>
        <v>0</v>
      </c>
      <c r="AY18" s="3" t="s">
        <v>268</v>
      </c>
      <c r="AZ18" s="3" t="s">
        <v>483</v>
      </c>
      <c r="BA18" s="51" t="s">
        <v>626</v>
      </c>
      <c r="BC18" s="19">
        <f t="shared" si="18"/>
        <v>0</v>
      </c>
      <c r="BD18" s="19">
        <f t="shared" si="19"/>
        <v>0</v>
      </c>
      <c r="BE18" s="19">
        <v>0</v>
      </c>
      <c r="BF18" s="19">
        <f t="shared" si="20"/>
        <v>0</v>
      </c>
      <c r="BH18" s="19">
        <f t="shared" si="21"/>
        <v>0</v>
      </c>
      <c r="BI18" s="19">
        <f t="shared" si="22"/>
        <v>0</v>
      </c>
      <c r="BJ18" s="19">
        <f t="shared" si="23"/>
        <v>0</v>
      </c>
      <c r="BK18" s="19"/>
      <c r="BL18" s="19">
        <v>723</v>
      </c>
    </row>
    <row r="19" spans="1:64" ht="15" customHeight="1">
      <c r="A19" s="26" t="s">
        <v>88</v>
      </c>
      <c r="B19" s="21" t="s">
        <v>428</v>
      </c>
      <c r="C19" s="21" t="s">
        <v>134</v>
      </c>
      <c r="D19" s="64" t="s">
        <v>347</v>
      </c>
      <c r="E19" s="64"/>
      <c r="F19" s="21" t="s">
        <v>442</v>
      </c>
      <c r="G19" s="19">
        <v>1</v>
      </c>
      <c r="H19" s="19">
        <v>0</v>
      </c>
      <c r="I19" s="19">
        <f t="shared" si="0"/>
        <v>0</v>
      </c>
      <c r="J19" s="19">
        <f t="shared" si="1"/>
        <v>0</v>
      </c>
      <c r="K19" s="19">
        <f t="shared" si="2"/>
        <v>0</v>
      </c>
      <c r="L19" s="19">
        <v>0</v>
      </c>
      <c r="M19" s="19">
        <f t="shared" si="3"/>
        <v>0</v>
      </c>
      <c r="N19" s="41" t="s">
        <v>476</v>
      </c>
      <c r="Z19" s="19">
        <f t="shared" si="4"/>
        <v>0</v>
      </c>
      <c r="AB19" s="19">
        <f t="shared" si="5"/>
        <v>0</v>
      </c>
      <c r="AC19" s="19">
        <f t="shared" si="6"/>
        <v>0</v>
      </c>
      <c r="AD19" s="19">
        <f t="shared" si="7"/>
        <v>0</v>
      </c>
      <c r="AE19" s="19">
        <f t="shared" si="8"/>
        <v>0</v>
      </c>
      <c r="AF19" s="19">
        <f t="shared" si="9"/>
        <v>0</v>
      </c>
      <c r="AG19" s="19">
        <f t="shared" si="10"/>
        <v>0</v>
      </c>
      <c r="AH19" s="19">
        <f t="shared" si="11"/>
        <v>0</v>
      </c>
      <c r="AI19" s="51" t="s">
        <v>428</v>
      </c>
      <c r="AJ19" s="19">
        <f t="shared" si="12"/>
        <v>0</v>
      </c>
      <c r="AK19" s="19">
        <f t="shared" si="13"/>
        <v>0</v>
      </c>
      <c r="AL19" s="19">
        <f t="shared" si="14"/>
        <v>0</v>
      </c>
      <c r="AN19" s="19">
        <v>21</v>
      </c>
      <c r="AO19" s="19">
        <f>H19*0.142857142857143</f>
        <v>0</v>
      </c>
      <c r="AP19" s="19">
        <f>H19*(1-0.142857142857143)</f>
        <v>0</v>
      </c>
      <c r="AQ19" s="3" t="s">
        <v>575</v>
      </c>
      <c r="AV19" s="19">
        <f t="shared" si="15"/>
        <v>0</v>
      </c>
      <c r="AW19" s="19">
        <f t="shared" si="16"/>
        <v>0</v>
      </c>
      <c r="AX19" s="19">
        <f t="shared" si="17"/>
        <v>0</v>
      </c>
      <c r="AY19" s="3" t="s">
        <v>268</v>
      </c>
      <c r="AZ19" s="3" t="s">
        <v>483</v>
      </c>
      <c r="BA19" s="51" t="s">
        <v>626</v>
      </c>
      <c r="BC19" s="19">
        <f t="shared" si="18"/>
        <v>0</v>
      </c>
      <c r="BD19" s="19">
        <f t="shared" si="19"/>
        <v>0</v>
      </c>
      <c r="BE19" s="19">
        <v>0</v>
      </c>
      <c r="BF19" s="19">
        <f t="shared" si="20"/>
        <v>0</v>
      </c>
      <c r="BH19" s="19">
        <f t="shared" si="21"/>
        <v>0</v>
      </c>
      <c r="BI19" s="19">
        <f t="shared" si="22"/>
        <v>0</v>
      </c>
      <c r="BJ19" s="19">
        <f t="shared" si="23"/>
        <v>0</v>
      </c>
      <c r="BK19" s="19"/>
      <c r="BL19" s="19">
        <v>723</v>
      </c>
    </row>
    <row r="20" spans="1:47" ht="15" customHeight="1">
      <c r="A20" s="61" t="s">
        <v>392</v>
      </c>
      <c r="B20" s="36" t="s">
        <v>428</v>
      </c>
      <c r="C20" s="36" t="s">
        <v>323</v>
      </c>
      <c r="D20" s="68" t="s">
        <v>459</v>
      </c>
      <c r="E20" s="68"/>
      <c r="F20" s="1" t="s">
        <v>525</v>
      </c>
      <c r="G20" s="1" t="s">
        <v>525</v>
      </c>
      <c r="H20" s="1" t="s">
        <v>525</v>
      </c>
      <c r="I20" s="33">
        <f>SUM(I21:I21)</f>
        <v>0</v>
      </c>
      <c r="J20" s="33">
        <f>SUM(J21:J21)</f>
        <v>0</v>
      </c>
      <c r="K20" s="33">
        <f>SUM(K21:K21)</f>
        <v>0</v>
      </c>
      <c r="L20" s="51" t="s">
        <v>392</v>
      </c>
      <c r="M20" s="33">
        <f>SUM(M21:M21)</f>
        <v>0.00063</v>
      </c>
      <c r="N20" s="58" t="s">
        <v>392</v>
      </c>
      <c r="AI20" s="51" t="s">
        <v>428</v>
      </c>
      <c r="AS20" s="33">
        <f>SUM(AJ21:AJ21)</f>
        <v>0</v>
      </c>
      <c r="AT20" s="33">
        <f>SUM(AK21:AK21)</f>
        <v>0</v>
      </c>
      <c r="AU20" s="33">
        <f>SUM(AL21:AL21)</f>
        <v>0</v>
      </c>
    </row>
    <row r="21" spans="1:64" ht="15" customHeight="1">
      <c r="A21" s="26" t="s">
        <v>575</v>
      </c>
      <c r="B21" s="21" t="s">
        <v>428</v>
      </c>
      <c r="C21" s="21" t="s">
        <v>542</v>
      </c>
      <c r="D21" s="64" t="s">
        <v>603</v>
      </c>
      <c r="E21" s="64"/>
      <c r="F21" s="21" t="s">
        <v>471</v>
      </c>
      <c r="G21" s="19">
        <v>7</v>
      </c>
      <c r="H21" s="19">
        <v>0</v>
      </c>
      <c r="I21" s="19">
        <f>G21*AO21</f>
        <v>0</v>
      </c>
      <c r="J21" s="19">
        <f>G21*AP21</f>
        <v>0</v>
      </c>
      <c r="K21" s="19">
        <f>G21*H21</f>
        <v>0</v>
      </c>
      <c r="L21" s="19">
        <v>9E-05</v>
      </c>
      <c r="M21" s="19">
        <f>G21*L21</f>
        <v>0.00063</v>
      </c>
      <c r="N21" s="41" t="s">
        <v>476</v>
      </c>
      <c r="Z21" s="19">
        <f>IF(AQ21="5",BJ21,0)</f>
        <v>0</v>
      </c>
      <c r="AB21" s="19">
        <f>IF(AQ21="1",BH21,0)</f>
        <v>0</v>
      </c>
      <c r="AC21" s="19">
        <f>IF(AQ21="1",BI21,0)</f>
        <v>0</v>
      </c>
      <c r="AD21" s="19">
        <f>IF(AQ21="7",BH21,0)</f>
        <v>0</v>
      </c>
      <c r="AE21" s="19">
        <f>IF(AQ21="7",BI21,0)</f>
        <v>0</v>
      </c>
      <c r="AF21" s="19">
        <f>IF(AQ21="2",BH21,0)</f>
        <v>0</v>
      </c>
      <c r="AG21" s="19">
        <f>IF(AQ21="2",BI21,0)</f>
        <v>0</v>
      </c>
      <c r="AH21" s="19">
        <f>IF(AQ21="0",BJ21,0)</f>
        <v>0</v>
      </c>
      <c r="AI21" s="51" t="s">
        <v>428</v>
      </c>
      <c r="AJ21" s="19">
        <f>IF(AN21=0,K21,0)</f>
        <v>0</v>
      </c>
      <c r="AK21" s="19">
        <f>IF(AN21=15,K21,0)</f>
        <v>0</v>
      </c>
      <c r="AL21" s="19">
        <f>IF(AN21=21,K21,0)</f>
        <v>0</v>
      </c>
      <c r="AN21" s="19">
        <v>21</v>
      </c>
      <c r="AO21" s="19">
        <f>H21*0.227784730913642</f>
        <v>0</v>
      </c>
      <c r="AP21" s="19">
        <f>H21*(1-0.227784730913642)</f>
        <v>0</v>
      </c>
      <c r="AQ21" s="3" t="s">
        <v>575</v>
      </c>
      <c r="AV21" s="19">
        <f>AW21+AX21</f>
        <v>0</v>
      </c>
      <c r="AW21" s="19">
        <f>G21*AO21</f>
        <v>0</v>
      </c>
      <c r="AX21" s="19">
        <f>G21*AP21</f>
        <v>0</v>
      </c>
      <c r="AY21" s="3" t="s">
        <v>131</v>
      </c>
      <c r="AZ21" s="3" t="s">
        <v>577</v>
      </c>
      <c r="BA21" s="51" t="s">
        <v>626</v>
      </c>
      <c r="BC21" s="19">
        <f>AW21+AX21</f>
        <v>0</v>
      </c>
      <c r="BD21" s="19">
        <f>H21/(100-BE21)*100</f>
        <v>0</v>
      </c>
      <c r="BE21" s="19">
        <v>0</v>
      </c>
      <c r="BF21" s="19">
        <f>M21</f>
        <v>0.00063</v>
      </c>
      <c r="BH21" s="19">
        <f>G21*AO21</f>
        <v>0</v>
      </c>
      <c r="BI21" s="19">
        <f>G21*AP21</f>
        <v>0</v>
      </c>
      <c r="BJ21" s="19">
        <f>G21*H21</f>
        <v>0</v>
      </c>
      <c r="BK21" s="19"/>
      <c r="BL21" s="19">
        <v>783</v>
      </c>
    </row>
    <row r="22" spans="1:47" ht="15" customHeight="1">
      <c r="A22" s="61" t="s">
        <v>392</v>
      </c>
      <c r="B22" s="36" t="s">
        <v>428</v>
      </c>
      <c r="C22" s="36" t="s">
        <v>288</v>
      </c>
      <c r="D22" s="68" t="s">
        <v>278</v>
      </c>
      <c r="E22" s="68"/>
      <c r="F22" s="1" t="s">
        <v>525</v>
      </c>
      <c r="G22" s="1" t="s">
        <v>525</v>
      </c>
      <c r="H22" s="1" t="s">
        <v>525</v>
      </c>
      <c r="I22" s="33">
        <f>SUM(I23:I23)</f>
        <v>0</v>
      </c>
      <c r="J22" s="33">
        <f>SUM(J23:J23)</f>
        <v>0</v>
      </c>
      <c r="K22" s="33">
        <f>SUM(K23:K23)</f>
        <v>0</v>
      </c>
      <c r="L22" s="51" t="s">
        <v>392</v>
      </c>
      <c r="M22" s="33">
        <f>SUM(M23:M23)</f>
        <v>0</v>
      </c>
      <c r="N22" s="58" t="s">
        <v>392</v>
      </c>
      <c r="AI22" s="51" t="s">
        <v>428</v>
      </c>
      <c r="AS22" s="33">
        <f>SUM(AJ23:AJ23)</f>
        <v>0</v>
      </c>
      <c r="AT22" s="33">
        <f>SUM(AK23:AK23)</f>
        <v>0</v>
      </c>
      <c r="AU22" s="33">
        <f>SUM(AL23:AL23)</f>
        <v>0</v>
      </c>
    </row>
    <row r="23" spans="1:64" ht="15" customHeight="1">
      <c r="A23" s="26" t="s">
        <v>455</v>
      </c>
      <c r="B23" s="21" t="s">
        <v>428</v>
      </c>
      <c r="C23" s="21" t="s">
        <v>147</v>
      </c>
      <c r="D23" s="64" t="s">
        <v>69</v>
      </c>
      <c r="E23" s="64"/>
      <c r="F23" s="21" t="s">
        <v>501</v>
      </c>
      <c r="G23" s="19">
        <v>0</v>
      </c>
      <c r="H23" s="19">
        <v>1.39</v>
      </c>
      <c r="I23" s="19">
        <f>G23*AO23</f>
        <v>0</v>
      </c>
      <c r="J23" s="19">
        <f>G23*AP23</f>
        <v>0</v>
      </c>
      <c r="K23" s="19">
        <f>G23*H23</f>
        <v>0</v>
      </c>
      <c r="L23" s="19">
        <v>0</v>
      </c>
      <c r="M23" s="19">
        <f>G23*L23</f>
        <v>0</v>
      </c>
      <c r="N23" s="41" t="s">
        <v>476</v>
      </c>
      <c r="Z23" s="19">
        <f>IF(AQ23="5",BJ23,0)</f>
        <v>0</v>
      </c>
      <c r="AB23" s="19">
        <f>IF(AQ23="1",BH23,0)</f>
        <v>0</v>
      </c>
      <c r="AC23" s="19">
        <f>IF(AQ23="1",BI23,0)</f>
        <v>0</v>
      </c>
      <c r="AD23" s="19">
        <f>IF(AQ23="7",BH23,0)</f>
        <v>0</v>
      </c>
      <c r="AE23" s="19">
        <f>IF(AQ23="7",BI23,0)</f>
        <v>0</v>
      </c>
      <c r="AF23" s="19">
        <f>IF(AQ23="2",BH23,0)</f>
        <v>0</v>
      </c>
      <c r="AG23" s="19">
        <f>IF(AQ23="2",BI23,0)</f>
        <v>0</v>
      </c>
      <c r="AH23" s="19">
        <f>IF(AQ23="0",BJ23,0)</f>
        <v>0</v>
      </c>
      <c r="AI23" s="51" t="s">
        <v>428</v>
      </c>
      <c r="AJ23" s="19">
        <f>IF(AN23=0,K23,0)</f>
        <v>0</v>
      </c>
      <c r="AK23" s="19">
        <f>IF(AN23=15,K23,0)</f>
        <v>0</v>
      </c>
      <c r="AL23" s="19">
        <f>IF(AN23=21,K23,0)</f>
        <v>0</v>
      </c>
      <c r="AN23" s="19">
        <v>21</v>
      </c>
      <c r="AO23" s="19">
        <f>H23*0</f>
        <v>0</v>
      </c>
      <c r="AP23" s="19">
        <f>H23*(1-0)</f>
        <v>1.39</v>
      </c>
      <c r="AQ23" s="3" t="s">
        <v>304</v>
      </c>
      <c r="AV23" s="19">
        <f>AW23+AX23</f>
        <v>0</v>
      </c>
      <c r="AW23" s="19">
        <f>G23*AO23</f>
        <v>0</v>
      </c>
      <c r="AX23" s="19">
        <f>G23*AP23</f>
        <v>0</v>
      </c>
      <c r="AY23" s="3" t="s">
        <v>648</v>
      </c>
      <c r="AZ23" s="3" t="s">
        <v>436</v>
      </c>
      <c r="BA23" s="51" t="s">
        <v>626</v>
      </c>
      <c r="BC23" s="19">
        <f>AW23+AX23</f>
        <v>0</v>
      </c>
      <c r="BD23" s="19">
        <f>H23/(100-BE23)*100</f>
        <v>1.39</v>
      </c>
      <c r="BE23" s="19">
        <v>0</v>
      </c>
      <c r="BF23" s="19">
        <f>M23</f>
        <v>0</v>
      </c>
      <c r="BH23" s="19">
        <f>G23*AO23</f>
        <v>0</v>
      </c>
      <c r="BI23" s="19">
        <f>G23*AP23</f>
        <v>0</v>
      </c>
      <c r="BJ23" s="19">
        <f>G23*H23</f>
        <v>0</v>
      </c>
      <c r="BK23" s="19"/>
      <c r="BL23" s="19"/>
    </row>
    <row r="24" spans="1:47" ht="15" customHeight="1">
      <c r="A24" s="61" t="s">
        <v>392</v>
      </c>
      <c r="B24" s="36" t="s">
        <v>428</v>
      </c>
      <c r="C24" s="36" t="s">
        <v>392</v>
      </c>
      <c r="D24" s="68" t="s">
        <v>37</v>
      </c>
      <c r="E24" s="68"/>
      <c r="F24" s="1" t="s">
        <v>525</v>
      </c>
      <c r="G24" s="1" t="s">
        <v>525</v>
      </c>
      <c r="H24" s="1" t="s">
        <v>525</v>
      </c>
      <c r="I24" s="33">
        <f>SUM(I25:I26)</f>
        <v>0</v>
      </c>
      <c r="J24" s="33">
        <f>SUM(J25:J26)</f>
        <v>0</v>
      </c>
      <c r="K24" s="33">
        <f>SUM(K25:K26)</f>
        <v>0</v>
      </c>
      <c r="L24" s="51" t="s">
        <v>392</v>
      </c>
      <c r="M24" s="33">
        <f>SUM(M25:M26)</f>
        <v>0</v>
      </c>
      <c r="N24" s="58" t="s">
        <v>392</v>
      </c>
      <c r="AI24" s="51" t="s">
        <v>428</v>
      </c>
      <c r="AS24" s="33">
        <f>SUM(AJ25:AJ26)</f>
        <v>0</v>
      </c>
      <c r="AT24" s="33">
        <f>SUM(AK25:AK26)</f>
        <v>0</v>
      </c>
      <c r="AU24" s="33">
        <f>SUM(AL25:AL26)</f>
        <v>0</v>
      </c>
    </row>
    <row r="25" spans="1:64" ht="15" customHeight="1">
      <c r="A25" s="26" t="s">
        <v>215</v>
      </c>
      <c r="B25" s="21" t="s">
        <v>428</v>
      </c>
      <c r="C25" s="21" t="s">
        <v>313</v>
      </c>
      <c r="D25" s="64" t="s">
        <v>80</v>
      </c>
      <c r="E25" s="64"/>
      <c r="F25" s="21" t="s">
        <v>442</v>
      </c>
      <c r="G25" s="19">
        <v>1</v>
      </c>
      <c r="H25" s="19">
        <v>0</v>
      </c>
      <c r="I25" s="19">
        <f>G25*AO25</f>
        <v>0</v>
      </c>
      <c r="J25" s="19">
        <f>G25*AP25</f>
        <v>0</v>
      </c>
      <c r="K25" s="19">
        <f>G25*H25</f>
        <v>0</v>
      </c>
      <c r="L25" s="19">
        <v>0</v>
      </c>
      <c r="M25" s="19">
        <f>G25*L25</f>
        <v>0</v>
      </c>
      <c r="N25" s="41" t="s">
        <v>476</v>
      </c>
      <c r="Z25" s="19">
        <f>IF(AQ25="5",BJ25,0)</f>
        <v>0</v>
      </c>
      <c r="AB25" s="19">
        <f>IF(AQ25="1",BH25,0)</f>
        <v>0</v>
      </c>
      <c r="AC25" s="19">
        <f>IF(AQ25="1",BI25,0)</f>
        <v>0</v>
      </c>
      <c r="AD25" s="19">
        <f>IF(AQ25="7",BH25,0)</f>
        <v>0</v>
      </c>
      <c r="AE25" s="19">
        <f>IF(AQ25="7",BI25,0)</f>
        <v>0</v>
      </c>
      <c r="AF25" s="19">
        <f>IF(AQ25="2",BH25,0)</f>
        <v>0</v>
      </c>
      <c r="AG25" s="19">
        <f>IF(AQ25="2",BI25,0)</f>
        <v>0</v>
      </c>
      <c r="AH25" s="19">
        <f>IF(AQ25="0",BJ25,0)</f>
        <v>0</v>
      </c>
      <c r="AI25" s="51" t="s">
        <v>428</v>
      </c>
      <c r="AJ25" s="19">
        <f>IF(AN25=0,K25,0)</f>
        <v>0</v>
      </c>
      <c r="AK25" s="19">
        <f>IF(AN25=15,K25,0)</f>
        <v>0</v>
      </c>
      <c r="AL25" s="19">
        <f>IF(AN25=21,K25,0)</f>
        <v>0</v>
      </c>
      <c r="AN25" s="19">
        <v>21</v>
      </c>
      <c r="AO25" s="19">
        <f>H25*1</f>
        <v>0</v>
      </c>
      <c r="AP25" s="19">
        <f>H25*(1-1)</f>
        <v>0</v>
      </c>
      <c r="AQ25" s="3" t="s">
        <v>300</v>
      </c>
      <c r="AV25" s="19">
        <f>AW25+AX25</f>
        <v>0</v>
      </c>
      <c r="AW25" s="19">
        <f>G25*AO25</f>
        <v>0</v>
      </c>
      <c r="AX25" s="19">
        <f>G25*AP25</f>
        <v>0</v>
      </c>
      <c r="AY25" s="3" t="s">
        <v>121</v>
      </c>
      <c r="AZ25" s="3" t="s">
        <v>289</v>
      </c>
      <c r="BA25" s="51" t="s">
        <v>626</v>
      </c>
      <c r="BC25" s="19">
        <f>AW25+AX25</f>
        <v>0</v>
      </c>
      <c r="BD25" s="19">
        <f>H25/(100-BE25)*100</f>
        <v>0</v>
      </c>
      <c r="BE25" s="19">
        <v>0</v>
      </c>
      <c r="BF25" s="19">
        <f>M25</f>
        <v>0</v>
      </c>
      <c r="BH25" s="19">
        <f>G25*AO25</f>
        <v>0</v>
      </c>
      <c r="BI25" s="19">
        <f>G25*AP25</f>
        <v>0</v>
      </c>
      <c r="BJ25" s="19">
        <f>G25*H25</f>
        <v>0</v>
      </c>
      <c r="BK25" s="19"/>
      <c r="BL25" s="19"/>
    </row>
    <row r="26" spans="1:64" ht="15" customHeight="1">
      <c r="A26" s="26" t="s">
        <v>327</v>
      </c>
      <c r="B26" s="21" t="s">
        <v>428</v>
      </c>
      <c r="C26" s="21" t="s">
        <v>75</v>
      </c>
      <c r="D26" s="64" t="s">
        <v>387</v>
      </c>
      <c r="E26" s="64"/>
      <c r="F26" s="21" t="s">
        <v>442</v>
      </c>
      <c r="G26" s="19">
        <v>1</v>
      </c>
      <c r="H26" s="19">
        <v>0</v>
      </c>
      <c r="I26" s="19">
        <f>G26*AO26</f>
        <v>0</v>
      </c>
      <c r="J26" s="19">
        <f>G26*AP26</f>
        <v>0</v>
      </c>
      <c r="K26" s="19">
        <f>G26*H26</f>
        <v>0</v>
      </c>
      <c r="L26" s="19">
        <v>0</v>
      </c>
      <c r="M26" s="19">
        <f>G26*L26</f>
        <v>0</v>
      </c>
      <c r="N26" s="41" t="s">
        <v>476</v>
      </c>
      <c r="Z26" s="19">
        <f>IF(AQ26="5",BJ26,0)</f>
        <v>0</v>
      </c>
      <c r="AB26" s="19">
        <f>IF(AQ26="1",BH26,0)</f>
        <v>0</v>
      </c>
      <c r="AC26" s="19">
        <f>IF(AQ26="1",BI26,0)</f>
        <v>0</v>
      </c>
      <c r="AD26" s="19">
        <f>IF(AQ26="7",BH26,0)</f>
        <v>0</v>
      </c>
      <c r="AE26" s="19">
        <f>IF(AQ26="7",BI26,0)</f>
        <v>0</v>
      </c>
      <c r="AF26" s="19">
        <f>IF(AQ26="2",BH26,0)</f>
        <v>0</v>
      </c>
      <c r="AG26" s="19">
        <f>IF(AQ26="2",BI26,0)</f>
        <v>0</v>
      </c>
      <c r="AH26" s="19">
        <f>IF(AQ26="0",BJ26,0)</f>
        <v>0</v>
      </c>
      <c r="AI26" s="51" t="s">
        <v>428</v>
      </c>
      <c r="AJ26" s="19">
        <f>IF(AN26=0,K26,0)</f>
        <v>0</v>
      </c>
      <c r="AK26" s="19">
        <f>IF(AN26=15,K26,0)</f>
        <v>0</v>
      </c>
      <c r="AL26" s="19">
        <f>IF(AN26=21,K26,0)</f>
        <v>0</v>
      </c>
      <c r="AN26" s="19">
        <v>21</v>
      </c>
      <c r="AO26" s="19">
        <f>H26*1</f>
        <v>0</v>
      </c>
      <c r="AP26" s="19">
        <f>H26*(1-1)</f>
        <v>0</v>
      </c>
      <c r="AQ26" s="3" t="s">
        <v>300</v>
      </c>
      <c r="AV26" s="19">
        <f>AW26+AX26</f>
        <v>0</v>
      </c>
      <c r="AW26" s="19">
        <f>G26*AO26</f>
        <v>0</v>
      </c>
      <c r="AX26" s="19">
        <f>G26*AP26</f>
        <v>0</v>
      </c>
      <c r="AY26" s="3" t="s">
        <v>121</v>
      </c>
      <c r="AZ26" s="3" t="s">
        <v>289</v>
      </c>
      <c r="BA26" s="51" t="s">
        <v>626</v>
      </c>
      <c r="BC26" s="19">
        <f>AW26+AX26</f>
        <v>0</v>
      </c>
      <c r="BD26" s="19">
        <f>H26/(100-BE26)*100</f>
        <v>0</v>
      </c>
      <c r="BE26" s="19">
        <v>0</v>
      </c>
      <c r="BF26" s="19">
        <f>M26</f>
        <v>0</v>
      </c>
      <c r="BH26" s="19">
        <f>G26*AO26</f>
        <v>0</v>
      </c>
      <c r="BI26" s="19">
        <f>G26*AP26</f>
        <v>0</v>
      </c>
      <c r="BJ26" s="19">
        <f>G26*H26</f>
        <v>0</v>
      </c>
      <c r="BK26" s="19"/>
      <c r="BL26" s="19"/>
    </row>
    <row r="27" spans="1:14" ht="15" customHeight="1">
      <c r="A27" s="61" t="s">
        <v>392</v>
      </c>
      <c r="B27" s="36" t="s">
        <v>2</v>
      </c>
      <c r="C27" s="36" t="s">
        <v>392</v>
      </c>
      <c r="D27" s="68" t="s">
        <v>227</v>
      </c>
      <c r="E27" s="68"/>
      <c r="F27" s="1" t="s">
        <v>525</v>
      </c>
      <c r="G27" s="1" t="s">
        <v>525</v>
      </c>
      <c r="H27" s="1" t="s">
        <v>525</v>
      </c>
      <c r="I27" s="33">
        <f>I28+I30+I39+I41+I48+I56+I63+I107+I109+I115+I117+I119</f>
        <v>0</v>
      </c>
      <c r="J27" s="33">
        <f>J28+J30+J39+J41+J48+J56+J63+J107+J109+J115+J117+J119</f>
        <v>0</v>
      </c>
      <c r="K27" s="33">
        <f>K28+K30+K39+K41+K48+K56+K63+K107+K109+K115+K117+K119</f>
        <v>0</v>
      </c>
      <c r="L27" s="51" t="s">
        <v>392</v>
      </c>
      <c r="M27" s="33">
        <f>M28+M30+M39+M41+M48+M56+M63+M107+M109+M115+M117+M119</f>
        <v>6.783306</v>
      </c>
      <c r="N27" s="58" t="s">
        <v>392</v>
      </c>
    </row>
    <row r="28" spans="1:47" ht="15" customHeight="1">
      <c r="A28" s="61" t="s">
        <v>392</v>
      </c>
      <c r="B28" s="36" t="s">
        <v>2</v>
      </c>
      <c r="C28" s="36" t="s">
        <v>360</v>
      </c>
      <c r="D28" s="68" t="s">
        <v>650</v>
      </c>
      <c r="E28" s="68"/>
      <c r="F28" s="1" t="s">
        <v>525</v>
      </c>
      <c r="G28" s="1" t="s">
        <v>525</v>
      </c>
      <c r="H28" s="1" t="s">
        <v>525</v>
      </c>
      <c r="I28" s="33">
        <f>SUM(I29:I29)</f>
        <v>0</v>
      </c>
      <c r="J28" s="33">
        <f>SUM(J29:J29)</f>
        <v>0</v>
      </c>
      <c r="K28" s="33">
        <f>SUM(K29:K29)</f>
        <v>0</v>
      </c>
      <c r="L28" s="51" t="s">
        <v>392</v>
      </c>
      <c r="M28" s="33">
        <f>SUM(M29:M29)</f>
        <v>0.00705</v>
      </c>
      <c r="N28" s="58" t="s">
        <v>392</v>
      </c>
      <c r="AI28" s="51" t="s">
        <v>2</v>
      </c>
      <c r="AS28" s="33">
        <f>SUM(AJ29:AJ29)</f>
        <v>0</v>
      </c>
      <c r="AT28" s="33">
        <f>SUM(AK29:AK29)</f>
        <v>0</v>
      </c>
      <c r="AU28" s="33">
        <f>SUM(AL29:AL29)</f>
        <v>0</v>
      </c>
    </row>
    <row r="29" spans="1:64" ht="15" customHeight="1">
      <c r="A29" s="26" t="s">
        <v>475</v>
      </c>
      <c r="B29" s="21" t="s">
        <v>2</v>
      </c>
      <c r="C29" s="21" t="s">
        <v>234</v>
      </c>
      <c r="D29" s="64" t="s">
        <v>557</v>
      </c>
      <c r="E29" s="64"/>
      <c r="F29" s="21" t="s">
        <v>471</v>
      </c>
      <c r="G29" s="19">
        <v>15</v>
      </c>
      <c r="H29" s="19">
        <v>0</v>
      </c>
      <c r="I29" s="19">
        <f>G29*AO29</f>
        <v>0</v>
      </c>
      <c r="J29" s="19">
        <f>G29*AP29</f>
        <v>0</v>
      </c>
      <c r="K29" s="19">
        <f>G29*H29</f>
        <v>0</v>
      </c>
      <c r="L29" s="19">
        <v>0.00047</v>
      </c>
      <c r="M29" s="19">
        <f>G29*L29</f>
        <v>0.00705</v>
      </c>
      <c r="N29" s="41" t="s">
        <v>476</v>
      </c>
      <c r="Z29" s="19">
        <f>IF(AQ29="5",BJ29,0)</f>
        <v>0</v>
      </c>
      <c r="AB29" s="19">
        <f>IF(AQ29="1",BH29,0)</f>
        <v>0</v>
      </c>
      <c r="AC29" s="19">
        <f>IF(AQ29="1",BI29,0)</f>
        <v>0</v>
      </c>
      <c r="AD29" s="19">
        <f>IF(AQ29="7",BH29,0)</f>
        <v>0</v>
      </c>
      <c r="AE29" s="19">
        <f>IF(AQ29="7",BI29,0)</f>
        <v>0</v>
      </c>
      <c r="AF29" s="19">
        <f>IF(AQ29="2",BH29,0)</f>
        <v>0</v>
      </c>
      <c r="AG29" s="19">
        <f>IF(AQ29="2",BI29,0)</f>
        <v>0</v>
      </c>
      <c r="AH29" s="19">
        <f>IF(AQ29="0",BJ29,0)</f>
        <v>0</v>
      </c>
      <c r="AI29" s="51" t="s">
        <v>2</v>
      </c>
      <c r="AJ29" s="19">
        <f>IF(AN29=0,K29,0)</f>
        <v>0</v>
      </c>
      <c r="AK29" s="19">
        <f>IF(AN29=15,K29,0)</f>
        <v>0</v>
      </c>
      <c r="AL29" s="19">
        <f>IF(AN29=21,K29,0)</f>
        <v>0</v>
      </c>
      <c r="AN29" s="19">
        <v>21</v>
      </c>
      <c r="AO29" s="19">
        <f>H29*0.4039375</f>
        <v>0</v>
      </c>
      <c r="AP29" s="19">
        <f>H29*(1-0.4039375)</f>
        <v>0</v>
      </c>
      <c r="AQ29" s="3" t="s">
        <v>575</v>
      </c>
      <c r="AV29" s="19">
        <f>AW29+AX29</f>
        <v>0</v>
      </c>
      <c r="AW29" s="19">
        <f>G29*AO29</f>
        <v>0</v>
      </c>
      <c r="AX29" s="19">
        <f>G29*AP29</f>
        <v>0</v>
      </c>
      <c r="AY29" s="3" t="s">
        <v>85</v>
      </c>
      <c r="AZ29" s="3" t="s">
        <v>393</v>
      </c>
      <c r="BA29" s="51" t="s">
        <v>503</v>
      </c>
      <c r="BC29" s="19">
        <f>AW29+AX29</f>
        <v>0</v>
      </c>
      <c r="BD29" s="19">
        <f>H29/(100-BE29)*100</f>
        <v>0</v>
      </c>
      <c r="BE29" s="19">
        <v>0</v>
      </c>
      <c r="BF29" s="19">
        <f>M29</f>
        <v>0.00705</v>
      </c>
      <c r="BH29" s="19">
        <f>G29*AO29</f>
        <v>0</v>
      </c>
      <c r="BI29" s="19">
        <f>G29*AP29</f>
        <v>0</v>
      </c>
      <c r="BJ29" s="19">
        <f>G29*H29</f>
        <v>0</v>
      </c>
      <c r="BK29" s="19"/>
      <c r="BL29" s="19">
        <v>721</v>
      </c>
    </row>
    <row r="30" spans="1:47" ht="15" customHeight="1">
      <c r="A30" s="61" t="s">
        <v>392</v>
      </c>
      <c r="B30" s="36" t="s">
        <v>2</v>
      </c>
      <c r="C30" s="36" t="s">
        <v>516</v>
      </c>
      <c r="D30" s="68" t="s">
        <v>348</v>
      </c>
      <c r="E30" s="68"/>
      <c r="F30" s="1" t="s">
        <v>525</v>
      </c>
      <c r="G30" s="1" t="s">
        <v>525</v>
      </c>
      <c r="H30" s="1" t="s">
        <v>525</v>
      </c>
      <c r="I30" s="33">
        <f>SUM(I31:I38)</f>
        <v>0</v>
      </c>
      <c r="J30" s="33">
        <f>SUM(J31:J38)</f>
        <v>0</v>
      </c>
      <c r="K30" s="33">
        <f>SUM(K31:K38)</f>
        <v>0</v>
      </c>
      <c r="L30" s="51" t="s">
        <v>392</v>
      </c>
      <c r="M30" s="33">
        <f>SUM(M31:M38)</f>
        <v>0.09226</v>
      </c>
      <c r="N30" s="58" t="s">
        <v>392</v>
      </c>
      <c r="AI30" s="51" t="s">
        <v>2</v>
      </c>
      <c r="AS30" s="33">
        <f>SUM(AJ31:AJ38)</f>
        <v>0</v>
      </c>
      <c r="AT30" s="33">
        <f>SUM(AK31:AK38)</f>
        <v>0</v>
      </c>
      <c r="AU30" s="33">
        <f>SUM(AL31:AL38)</f>
        <v>0</v>
      </c>
    </row>
    <row r="31" spans="1:64" ht="15" customHeight="1">
      <c r="A31" s="26" t="s">
        <v>420</v>
      </c>
      <c r="B31" s="21" t="s">
        <v>2</v>
      </c>
      <c r="C31" s="21" t="s">
        <v>365</v>
      </c>
      <c r="D31" s="64" t="s">
        <v>338</v>
      </c>
      <c r="E31" s="64"/>
      <c r="F31" s="21" t="s">
        <v>471</v>
      </c>
      <c r="G31" s="19">
        <v>15</v>
      </c>
      <c r="H31" s="19">
        <v>0</v>
      </c>
      <c r="I31" s="19">
        <f aca="true" t="shared" si="24" ref="I31:I38">G31*AO31</f>
        <v>0</v>
      </c>
      <c r="J31" s="19">
        <f aca="true" t="shared" si="25" ref="J31:J38">G31*AP31</f>
        <v>0</v>
      </c>
      <c r="K31" s="19">
        <f aca="true" t="shared" si="26" ref="K31:K38">G31*H31</f>
        <v>0</v>
      </c>
      <c r="L31" s="19">
        <v>0.00522</v>
      </c>
      <c r="M31" s="19">
        <f aca="true" t="shared" si="27" ref="M31:M38">G31*L31</f>
        <v>0.0783</v>
      </c>
      <c r="N31" s="41" t="s">
        <v>476</v>
      </c>
      <c r="Z31" s="19">
        <f aca="true" t="shared" si="28" ref="Z31:Z38">IF(AQ31="5",BJ31,0)</f>
        <v>0</v>
      </c>
      <c r="AB31" s="19">
        <f aca="true" t="shared" si="29" ref="AB31:AB38">IF(AQ31="1",BH31,0)</f>
        <v>0</v>
      </c>
      <c r="AC31" s="19">
        <f aca="true" t="shared" si="30" ref="AC31:AC38">IF(AQ31="1",BI31,0)</f>
        <v>0</v>
      </c>
      <c r="AD31" s="19">
        <f aca="true" t="shared" si="31" ref="AD31:AD38">IF(AQ31="7",BH31,0)</f>
        <v>0</v>
      </c>
      <c r="AE31" s="19">
        <f aca="true" t="shared" si="32" ref="AE31:AE38">IF(AQ31="7",BI31,0)</f>
        <v>0</v>
      </c>
      <c r="AF31" s="19">
        <f aca="true" t="shared" si="33" ref="AF31:AF38">IF(AQ31="2",BH31,0)</f>
        <v>0</v>
      </c>
      <c r="AG31" s="19">
        <f aca="true" t="shared" si="34" ref="AG31:AG38">IF(AQ31="2",BI31,0)</f>
        <v>0</v>
      </c>
      <c r="AH31" s="19">
        <f aca="true" t="shared" si="35" ref="AH31:AH38">IF(AQ31="0",BJ31,0)</f>
        <v>0</v>
      </c>
      <c r="AI31" s="51" t="s">
        <v>2</v>
      </c>
      <c r="AJ31" s="19">
        <f aca="true" t="shared" si="36" ref="AJ31:AJ38">IF(AN31=0,K31,0)</f>
        <v>0</v>
      </c>
      <c r="AK31" s="19">
        <f aca="true" t="shared" si="37" ref="AK31:AK38">IF(AN31=15,K31,0)</f>
        <v>0</v>
      </c>
      <c r="AL31" s="19">
        <f aca="true" t="shared" si="38" ref="AL31:AL38">IF(AN31=21,K31,0)</f>
        <v>0</v>
      </c>
      <c r="AN31" s="19">
        <v>21</v>
      </c>
      <c r="AO31" s="19">
        <f>H31*0.330862180896735</f>
        <v>0</v>
      </c>
      <c r="AP31" s="19">
        <f>H31*(1-0.330862180896735)</f>
        <v>0</v>
      </c>
      <c r="AQ31" s="3" t="s">
        <v>575</v>
      </c>
      <c r="AV31" s="19">
        <f aca="true" t="shared" si="39" ref="AV31:AV38">AW31+AX31</f>
        <v>0</v>
      </c>
      <c r="AW31" s="19">
        <f aca="true" t="shared" si="40" ref="AW31:AW38">G31*AO31</f>
        <v>0</v>
      </c>
      <c r="AX31" s="19">
        <f aca="true" t="shared" si="41" ref="AX31:AX38">G31*AP31</f>
        <v>0</v>
      </c>
      <c r="AY31" s="3" t="s">
        <v>356</v>
      </c>
      <c r="AZ31" s="3" t="s">
        <v>393</v>
      </c>
      <c r="BA31" s="51" t="s">
        <v>503</v>
      </c>
      <c r="BC31" s="19">
        <f aca="true" t="shared" si="42" ref="BC31:BC38">AW31+AX31</f>
        <v>0</v>
      </c>
      <c r="BD31" s="19">
        <f aca="true" t="shared" si="43" ref="BD31:BD38">H31/(100-BE31)*100</f>
        <v>0</v>
      </c>
      <c r="BE31" s="19">
        <v>0</v>
      </c>
      <c r="BF31" s="19">
        <f aca="true" t="shared" si="44" ref="BF31:BF38">M31</f>
        <v>0.0783</v>
      </c>
      <c r="BH31" s="19">
        <f aca="true" t="shared" si="45" ref="BH31:BH38">G31*AO31</f>
        <v>0</v>
      </c>
      <c r="BI31" s="19">
        <f aca="true" t="shared" si="46" ref="BI31:BI38">G31*AP31</f>
        <v>0</v>
      </c>
      <c r="BJ31" s="19">
        <f aca="true" t="shared" si="47" ref="BJ31:BJ38">G31*H31</f>
        <v>0</v>
      </c>
      <c r="BK31" s="19"/>
      <c r="BL31" s="19">
        <v>722</v>
      </c>
    </row>
    <row r="32" spans="1:64" ht="15" customHeight="1">
      <c r="A32" s="26" t="s">
        <v>168</v>
      </c>
      <c r="B32" s="21" t="s">
        <v>2</v>
      </c>
      <c r="C32" s="21" t="s">
        <v>330</v>
      </c>
      <c r="D32" s="64" t="s">
        <v>502</v>
      </c>
      <c r="E32" s="64"/>
      <c r="F32" s="21" t="s">
        <v>471</v>
      </c>
      <c r="G32" s="19">
        <v>8</v>
      </c>
      <c r="H32" s="19">
        <v>0</v>
      </c>
      <c r="I32" s="19">
        <f t="shared" si="24"/>
        <v>0</v>
      </c>
      <c r="J32" s="19">
        <f t="shared" si="25"/>
        <v>0</v>
      </c>
      <c r="K32" s="19">
        <f t="shared" si="26"/>
        <v>0</v>
      </c>
      <c r="L32" s="19">
        <v>7E-05</v>
      </c>
      <c r="M32" s="19">
        <f t="shared" si="27"/>
        <v>0.00056</v>
      </c>
      <c r="N32" s="41" t="s">
        <v>476</v>
      </c>
      <c r="Z32" s="19">
        <f t="shared" si="28"/>
        <v>0</v>
      </c>
      <c r="AB32" s="19">
        <f t="shared" si="29"/>
        <v>0</v>
      </c>
      <c r="AC32" s="19">
        <f t="shared" si="30"/>
        <v>0</v>
      </c>
      <c r="AD32" s="19">
        <f t="shared" si="31"/>
        <v>0</v>
      </c>
      <c r="AE32" s="19">
        <f t="shared" si="32"/>
        <v>0</v>
      </c>
      <c r="AF32" s="19">
        <f t="shared" si="33"/>
        <v>0</v>
      </c>
      <c r="AG32" s="19">
        <f t="shared" si="34"/>
        <v>0</v>
      </c>
      <c r="AH32" s="19">
        <f t="shared" si="35"/>
        <v>0</v>
      </c>
      <c r="AI32" s="51" t="s">
        <v>2</v>
      </c>
      <c r="AJ32" s="19">
        <f t="shared" si="36"/>
        <v>0</v>
      </c>
      <c r="AK32" s="19">
        <f t="shared" si="37"/>
        <v>0</v>
      </c>
      <c r="AL32" s="19">
        <f t="shared" si="38"/>
        <v>0</v>
      </c>
      <c r="AN32" s="19">
        <v>21</v>
      </c>
      <c r="AO32" s="19">
        <f>H32*0.463798449612403</f>
        <v>0</v>
      </c>
      <c r="AP32" s="19">
        <f>H32*(1-0.463798449612403)</f>
        <v>0</v>
      </c>
      <c r="AQ32" s="3" t="s">
        <v>575</v>
      </c>
      <c r="AV32" s="19">
        <f t="shared" si="39"/>
        <v>0</v>
      </c>
      <c r="AW32" s="19">
        <f t="shared" si="40"/>
        <v>0</v>
      </c>
      <c r="AX32" s="19">
        <f t="shared" si="41"/>
        <v>0</v>
      </c>
      <c r="AY32" s="3" t="s">
        <v>356</v>
      </c>
      <c r="AZ32" s="3" t="s">
        <v>393</v>
      </c>
      <c r="BA32" s="51" t="s">
        <v>503</v>
      </c>
      <c r="BC32" s="19">
        <f t="shared" si="42"/>
        <v>0</v>
      </c>
      <c r="BD32" s="19">
        <f t="shared" si="43"/>
        <v>0</v>
      </c>
      <c r="BE32" s="19">
        <v>0</v>
      </c>
      <c r="BF32" s="19">
        <f t="shared" si="44"/>
        <v>0.00056</v>
      </c>
      <c r="BH32" s="19">
        <f t="shared" si="45"/>
        <v>0</v>
      </c>
      <c r="BI32" s="19">
        <f t="shared" si="46"/>
        <v>0</v>
      </c>
      <c r="BJ32" s="19">
        <f t="shared" si="47"/>
        <v>0</v>
      </c>
      <c r="BK32" s="19"/>
      <c r="BL32" s="19">
        <v>722</v>
      </c>
    </row>
    <row r="33" spans="1:64" ht="15" customHeight="1">
      <c r="A33" s="26" t="s">
        <v>339</v>
      </c>
      <c r="B33" s="21" t="s">
        <v>2</v>
      </c>
      <c r="C33" s="21" t="s">
        <v>5</v>
      </c>
      <c r="D33" s="64" t="s">
        <v>618</v>
      </c>
      <c r="E33" s="64"/>
      <c r="F33" s="21" t="s">
        <v>471</v>
      </c>
      <c r="G33" s="19">
        <v>12</v>
      </c>
      <c r="H33" s="19">
        <v>0</v>
      </c>
      <c r="I33" s="19">
        <f t="shared" si="24"/>
        <v>0</v>
      </c>
      <c r="J33" s="19">
        <f t="shared" si="25"/>
        <v>0</v>
      </c>
      <c r="K33" s="19">
        <f t="shared" si="26"/>
        <v>0</v>
      </c>
      <c r="L33" s="19">
        <v>0.00014</v>
      </c>
      <c r="M33" s="19">
        <f t="shared" si="27"/>
        <v>0.0016799999999999999</v>
      </c>
      <c r="N33" s="41" t="s">
        <v>476</v>
      </c>
      <c r="Z33" s="19">
        <f t="shared" si="28"/>
        <v>0</v>
      </c>
      <c r="AB33" s="19">
        <f t="shared" si="29"/>
        <v>0</v>
      </c>
      <c r="AC33" s="19">
        <f t="shared" si="30"/>
        <v>0</v>
      </c>
      <c r="AD33" s="19">
        <f t="shared" si="31"/>
        <v>0</v>
      </c>
      <c r="AE33" s="19">
        <f t="shared" si="32"/>
        <v>0</v>
      </c>
      <c r="AF33" s="19">
        <f t="shared" si="33"/>
        <v>0</v>
      </c>
      <c r="AG33" s="19">
        <f t="shared" si="34"/>
        <v>0</v>
      </c>
      <c r="AH33" s="19">
        <f t="shared" si="35"/>
        <v>0</v>
      </c>
      <c r="AI33" s="51" t="s">
        <v>2</v>
      </c>
      <c r="AJ33" s="19">
        <f t="shared" si="36"/>
        <v>0</v>
      </c>
      <c r="AK33" s="19">
        <f t="shared" si="37"/>
        <v>0</v>
      </c>
      <c r="AL33" s="19">
        <f t="shared" si="38"/>
        <v>0</v>
      </c>
      <c r="AN33" s="19">
        <v>21</v>
      </c>
      <c r="AO33" s="19">
        <f>H33*0.449700996677741</f>
        <v>0</v>
      </c>
      <c r="AP33" s="19">
        <f>H33*(1-0.449700996677741)</f>
        <v>0</v>
      </c>
      <c r="AQ33" s="3" t="s">
        <v>575</v>
      </c>
      <c r="AV33" s="19">
        <f t="shared" si="39"/>
        <v>0</v>
      </c>
      <c r="AW33" s="19">
        <f t="shared" si="40"/>
        <v>0</v>
      </c>
      <c r="AX33" s="19">
        <f t="shared" si="41"/>
        <v>0</v>
      </c>
      <c r="AY33" s="3" t="s">
        <v>356</v>
      </c>
      <c r="AZ33" s="3" t="s">
        <v>393</v>
      </c>
      <c r="BA33" s="51" t="s">
        <v>503</v>
      </c>
      <c r="BC33" s="19">
        <f t="shared" si="42"/>
        <v>0</v>
      </c>
      <c r="BD33" s="19">
        <f t="shared" si="43"/>
        <v>0</v>
      </c>
      <c r="BE33" s="19">
        <v>0</v>
      </c>
      <c r="BF33" s="19">
        <f t="shared" si="44"/>
        <v>0.0016799999999999999</v>
      </c>
      <c r="BH33" s="19">
        <f t="shared" si="45"/>
        <v>0</v>
      </c>
      <c r="BI33" s="19">
        <f t="shared" si="46"/>
        <v>0</v>
      </c>
      <c r="BJ33" s="19">
        <f t="shared" si="47"/>
        <v>0</v>
      </c>
      <c r="BK33" s="19"/>
      <c r="BL33" s="19">
        <v>722</v>
      </c>
    </row>
    <row r="34" spans="1:64" ht="15" customHeight="1">
      <c r="A34" s="26" t="s">
        <v>222</v>
      </c>
      <c r="B34" s="21" t="s">
        <v>2</v>
      </c>
      <c r="C34" s="21" t="s">
        <v>36</v>
      </c>
      <c r="D34" s="64" t="s">
        <v>258</v>
      </c>
      <c r="E34" s="64"/>
      <c r="F34" s="21" t="s">
        <v>471</v>
      </c>
      <c r="G34" s="19">
        <v>5</v>
      </c>
      <c r="H34" s="19">
        <v>0</v>
      </c>
      <c r="I34" s="19">
        <f t="shared" si="24"/>
        <v>0</v>
      </c>
      <c r="J34" s="19">
        <f t="shared" si="25"/>
        <v>0</v>
      </c>
      <c r="K34" s="19">
        <f t="shared" si="26"/>
        <v>0</v>
      </c>
      <c r="L34" s="19">
        <v>0.00016</v>
      </c>
      <c r="M34" s="19">
        <f t="shared" si="27"/>
        <v>0.0008</v>
      </c>
      <c r="N34" s="41" t="s">
        <v>476</v>
      </c>
      <c r="Z34" s="19">
        <f t="shared" si="28"/>
        <v>0</v>
      </c>
      <c r="AB34" s="19">
        <f t="shared" si="29"/>
        <v>0</v>
      </c>
      <c r="AC34" s="19">
        <f t="shared" si="30"/>
        <v>0</v>
      </c>
      <c r="AD34" s="19">
        <f t="shared" si="31"/>
        <v>0</v>
      </c>
      <c r="AE34" s="19">
        <f t="shared" si="32"/>
        <v>0</v>
      </c>
      <c r="AF34" s="19">
        <f t="shared" si="33"/>
        <v>0</v>
      </c>
      <c r="AG34" s="19">
        <f t="shared" si="34"/>
        <v>0</v>
      </c>
      <c r="AH34" s="19">
        <f t="shared" si="35"/>
        <v>0</v>
      </c>
      <c r="AI34" s="51" t="s">
        <v>2</v>
      </c>
      <c r="AJ34" s="19">
        <f t="shared" si="36"/>
        <v>0</v>
      </c>
      <c r="AK34" s="19">
        <f t="shared" si="37"/>
        <v>0</v>
      </c>
      <c r="AL34" s="19">
        <f t="shared" si="38"/>
        <v>0</v>
      </c>
      <c r="AN34" s="19">
        <v>21</v>
      </c>
      <c r="AO34" s="19">
        <f>H34*0.470798722044729</f>
        <v>0</v>
      </c>
      <c r="AP34" s="19">
        <f>H34*(1-0.470798722044729)</f>
        <v>0</v>
      </c>
      <c r="AQ34" s="3" t="s">
        <v>575</v>
      </c>
      <c r="AV34" s="19">
        <f t="shared" si="39"/>
        <v>0</v>
      </c>
      <c r="AW34" s="19">
        <f t="shared" si="40"/>
        <v>0</v>
      </c>
      <c r="AX34" s="19">
        <f t="shared" si="41"/>
        <v>0</v>
      </c>
      <c r="AY34" s="3" t="s">
        <v>356</v>
      </c>
      <c r="AZ34" s="3" t="s">
        <v>393</v>
      </c>
      <c r="BA34" s="51" t="s">
        <v>503</v>
      </c>
      <c r="BC34" s="19">
        <f t="shared" si="42"/>
        <v>0</v>
      </c>
      <c r="BD34" s="19">
        <f t="shared" si="43"/>
        <v>0</v>
      </c>
      <c r="BE34" s="19">
        <v>0</v>
      </c>
      <c r="BF34" s="19">
        <f t="shared" si="44"/>
        <v>0.0008</v>
      </c>
      <c r="BH34" s="19">
        <f t="shared" si="45"/>
        <v>0</v>
      </c>
      <c r="BI34" s="19">
        <f t="shared" si="46"/>
        <v>0</v>
      </c>
      <c r="BJ34" s="19">
        <f t="shared" si="47"/>
        <v>0</v>
      </c>
      <c r="BK34" s="19"/>
      <c r="BL34" s="19">
        <v>722</v>
      </c>
    </row>
    <row r="35" spans="1:64" ht="15" customHeight="1">
      <c r="A35" s="26" t="s">
        <v>48</v>
      </c>
      <c r="B35" s="21" t="s">
        <v>2</v>
      </c>
      <c r="C35" s="21" t="s">
        <v>194</v>
      </c>
      <c r="D35" s="64" t="s">
        <v>479</v>
      </c>
      <c r="E35" s="64"/>
      <c r="F35" s="21" t="s">
        <v>471</v>
      </c>
      <c r="G35" s="19">
        <v>5</v>
      </c>
      <c r="H35" s="19">
        <v>0</v>
      </c>
      <c r="I35" s="19">
        <f t="shared" si="24"/>
        <v>0</v>
      </c>
      <c r="J35" s="19">
        <f t="shared" si="25"/>
        <v>0</v>
      </c>
      <c r="K35" s="19">
        <f t="shared" si="26"/>
        <v>0</v>
      </c>
      <c r="L35" s="19">
        <v>0.0002</v>
      </c>
      <c r="M35" s="19">
        <f t="shared" si="27"/>
        <v>0.001</v>
      </c>
      <c r="N35" s="41" t="s">
        <v>476</v>
      </c>
      <c r="Z35" s="19">
        <f t="shared" si="28"/>
        <v>0</v>
      </c>
      <c r="AB35" s="19">
        <f t="shared" si="29"/>
        <v>0</v>
      </c>
      <c r="AC35" s="19">
        <f t="shared" si="30"/>
        <v>0</v>
      </c>
      <c r="AD35" s="19">
        <f t="shared" si="31"/>
        <v>0</v>
      </c>
      <c r="AE35" s="19">
        <f t="shared" si="32"/>
        <v>0</v>
      </c>
      <c r="AF35" s="19">
        <f t="shared" si="33"/>
        <v>0</v>
      </c>
      <c r="AG35" s="19">
        <f t="shared" si="34"/>
        <v>0</v>
      </c>
      <c r="AH35" s="19">
        <f t="shared" si="35"/>
        <v>0</v>
      </c>
      <c r="AI35" s="51" t="s">
        <v>2</v>
      </c>
      <c r="AJ35" s="19">
        <f t="shared" si="36"/>
        <v>0</v>
      </c>
      <c r="AK35" s="19">
        <f t="shared" si="37"/>
        <v>0</v>
      </c>
      <c r="AL35" s="19">
        <f t="shared" si="38"/>
        <v>0</v>
      </c>
      <c r="AN35" s="19">
        <v>21</v>
      </c>
      <c r="AO35" s="19">
        <f>H35*0.582731481481481</f>
        <v>0</v>
      </c>
      <c r="AP35" s="19">
        <f>H35*(1-0.582731481481481)</f>
        <v>0</v>
      </c>
      <c r="AQ35" s="3" t="s">
        <v>575</v>
      </c>
      <c r="AV35" s="19">
        <f t="shared" si="39"/>
        <v>0</v>
      </c>
      <c r="AW35" s="19">
        <f t="shared" si="40"/>
        <v>0</v>
      </c>
      <c r="AX35" s="19">
        <f t="shared" si="41"/>
        <v>0</v>
      </c>
      <c r="AY35" s="3" t="s">
        <v>356</v>
      </c>
      <c r="AZ35" s="3" t="s">
        <v>393</v>
      </c>
      <c r="BA35" s="51" t="s">
        <v>503</v>
      </c>
      <c r="BC35" s="19">
        <f t="shared" si="42"/>
        <v>0</v>
      </c>
      <c r="BD35" s="19">
        <f t="shared" si="43"/>
        <v>0</v>
      </c>
      <c r="BE35" s="19">
        <v>0</v>
      </c>
      <c r="BF35" s="19">
        <f t="shared" si="44"/>
        <v>0.001</v>
      </c>
      <c r="BH35" s="19">
        <f t="shared" si="45"/>
        <v>0</v>
      </c>
      <c r="BI35" s="19">
        <f t="shared" si="46"/>
        <v>0</v>
      </c>
      <c r="BJ35" s="19">
        <f t="shared" si="47"/>
        <v>0</v>
      </c>
      <c r="BK35" s="19"/>
      <c r="BL35" s="19">
        <v>722</v>
      </c>
    </row>
    <row r="36" spans="1:64" ht="15" customHeight="1">
      <c r="A36" s="26" t="s">
        <v>395</v>
      </c>
      <c r="B36" s="21" t="s">
        <v>2</v>
      </c>
      <c r="C36" s="21" t="s">
        <v>341</v>
      </c>
      <c r="D36" s="64" t="s">
        <v>284</v>
      </c>
      <c r="E36" s="64"/>
      <c r="F36" s="21" t="s">
        <v>471</v>
      </c>
      <c r="G36" s="19">
        <v>16</v>
      </c>
      <c r="H36" s="19">
        <v>0</v>
      </c>
      <c r="I36" s="19">
        <f t="shared" si="24"/>
        <v>0</v>
      </c>
      <c r="J36" s="19">
        <f t="shared" si="25"/>
        <v>0</v>
      </c>
      <c r="K36" s="19">
        <f t="shared" si="26"/>
        <v>0</v>
      </c>
      <c r="L36" s="19">
        <v>0.00027</v>
      </c>
      <c r="M36" s="19">
        <f t="shared" si="27"/>
        <v>0.00432</v>
      </c>
      <c r="N36" s="41" t="s">
        <v>476</v>
      </c>
      <c r="Z36" s="19">
        <f t="shared" si="28"/>
        <v>0</v>
      </c>
      <c r="AB36" s="19">
        <f t="shared" si="29"/>
        <v>0</v>
      </c>
      <c r="AC36" s="19">
        <f t="shared" si="30"/>
        <v>0</v>
      </c>
      <c r="AD36" s="19">
        <f t="shared" si="31"/>
        <v>0</v>
      </c>
      <c r="AE36" s="19">
        <f t="shared" si="32"/>
        <v>0</v>
      </c>
      <c r="AF36" s="19">
        <f t="shared" si="33"/>
        <v>0</v>
      </c>
      <c r="AG36" s="19">
        <f t="shared" si="34"/>
        <v>0</v>
      </c>
      <c r="AH36" s="19">
        <f t="shared" si="35"/>
        <v>0</v>
      </c>
      <c r="AI36" s="51" t="s">
        <v>2</v>
      </c>
      <c r="AJ36" s="19">
        <f t="shared" si="36"/>
        <v>0</v>
      </c>
      <c r="AK36" s="19">
        <f t="shared" si="37"/>
        <v>0</v>
      </c>
      <c r="AL36" s="19">
        <f t="shared" si="38"/>
        <v>0</v>
      </c>
      <c r="AN36" s="19">
        <v>21</v>
      </c>
      <c r="AO36" s="19">
        <f>H36*0.687799934424275</f>
        <v>0</v>
      </c>
      <c r="AP36" s="19">
        <f>H36*(1-0.687799934424275)</f>
        <v>0</v>
      </c>
      <c r="AQ36" s="3" t="s">
        <v>575</v>
      </c>
      <c r="AV36" s="19">
        <f t="shared" si="39"/>
        <v>0</v>
      </c>
      <c r="AW36" s="19">
        <f t="shared" si="40"/>
        <v>0</v>
      </c>
      <c r="AX36" s="19">
        <f t="shared" si="41"/>
        <v>0</v>
      </c>
      <c r="AY36" s="3" t="s">
        <v>356</v>
      </c>
      <c r="AZ36" s="3" t="s">
        <v>393</v>
      </c>
      <c r="BA36" s="51" t="s">
        <v>503</v>
      </c>
      <c r="BC36" s="19">
        <f t="shared" si="42"/>
        <v>0</v>
      </c>
      <c r="BD36" s="19">
        <f t="shared" si="43"/>
        <v>0</v>
      </c>
      <c r="BE36" s="19">
        <v>0</v>
      </c>
      <c r="BF36" s="19">
        <f t="shared" si="44"/>
        <v>0.00432</v>
      </c>
      <c r="BH36" s="19">
        <f t="shared" si="45"/>
        <v>0</v>
      </c>
      <c r="BI36" s="19">
        <f t="shared" si="46"/>
        <v>0</v>
      </c>
      <c r="BJ36" s="19">
        <f t="shared" si="47"/>
        <v>0</v>
      </c>
      <c r="BK36" s="19"/>
      <c r="BL36" s="19">
        <v>722</v>
      </c>
    </row>
    <row r="37" spans="1:64" ht="15" customHeight="1">
      <c r="A37" s="26" t="s">
        <v>461</v>
      </c>
      <c r="B37" s="21" t="s">
        <v>2</v>
      </c>
      <c r="C37" s="21" t="s">
        <v>563</v>
      </c>
      <c r="D37" s="64" t="s">
        <v>541</v>
      </c>
      <c r="E37" s="64"/>
      <c r="F37" s="21" t="s">
        <v>471</v>
      </c>
      <c r="G37" s="19">
        <v>8</v>
      </c>
      <c r="H37" s="19">
        <v>0</v>
      </c>
      <c r="I37" s="19">
        <f t="shared" si="24"/>
        <v>0</v>
      </c>
      <c r="J37" s="19">
        <f t="shared" si="25"/>
        <v>0</v>
      </c>
      <c r="K37" s="19">
        <f t="shared" si="26"/>
        <v>0</v>
      </c>
      <c r="L37" s="19">
        <v>0.0007</v>
      </c>
      <c r="M37" s="19">
        <f t="shared" si="27"/>
        <v>0.0056</v>
      </c>
      <c r="N37" s="41" t="s">
        <v>476</v>
      </c>
      <c r="Z37" s="19">
        <f t="shared" si="28"/>
        <v>0</v>
      </c>
      <c r="AB37" s="19">
        <f t="shared" si="29"/>
        <v>0</v>
      </c>
      <c r="AC37" s="19">
        <f t="shared" si="30"/>
        <v>0</v>
      </c>
      <c r="AD37" s="19">
        <f t="shared" si="31"/>
        <v>0</v>
      </c>
      <c r="AE37" s="19">
        <f t="shared" si="32"/>
        <v>0</v>
      </c>
      <c r="AF37" s="19">
        <f t="shared" si="33"/>
        <v>0</v>
      </c>
      <c r="AG37" s="19">
        <f t="shared" si="34"/>
        <v>0</v>
      </c>
      <c r="AH37" s="19">
        <f t="shared" si="35"/>
        <v>0</v>
      </c>
      <c r="AI37" s="51" t="s">
        <v>2</v>
      </c>
      <c r="AJ37" s="19">
        <f t="shared" si="36"/>
        <v>0</v>
      </c>
      <c r="AK37" s="19">
        <f t="shared" si="37"/>
        <v>0</v>
      </c>
      <c r="AL37" s="19">
        <f t="shared" si="38"/>
        <v>0</v>
      </c>
      <c r="AN37" s="19">
        <v>21</v>
      </c>
      <c r="AO37" s="19">
        <f>H37*0.779299145299145</f>
        <v>0</v>
      </c>
      <c r="AP37" s="19">
        <f>H37*(1-0.779299145299145)</f>
        <v>0</v>
      </c>
      <c r="AQ37" s="3" t="s">
        <v>575</v>
      </c>
      <c r="AV37" s="19">
        <f t="shared" si="39"/>
        <v>0</v>
      </c>
      <c r="AW37" s="19">
        <f t="shared" si="40"/>
        <v>0</v>
      </c>
      <c r="AX37" s="19">
        <f t="shared" si="41"/>
        <v>0</v>
      </c>
      <c r="AY37" s="3" t="s">
        <v>356</v>
      </c>
      <c r="AZ37" s="3" t="s">
        <v>393</v>
      </c>
      <c r="BA37" s="51" t="s">
        <v>503</v>
      </c>
      <c r="BC37" s="19">
        <f t="shared" si="42"/>
        <v>0</v>
      </c>
      <c r="BD37" s="19">
        <f t="shared" si="43"/>
        <v>0</v>
      </c>
      <c r="BE37" s="19">
        <v>0</v>
      </c>
      <c r="BF37" s="19">
        <f t="shared" si="44"/>
        <v>0.0056</v>
      </c>
      <c r="BH37" s="19">
        <f t="shared" si="45"/>
        <v>0</v>
      </c>
      <c r="BI37" s="19">
        <f t="shared" si="46"/>
        <v>0</v>
      </c>
      <c r="BJ37" s="19">
        <f t="shared" si="47"/>
        <v>0</v>
      </c>
      <c r="BK37" s="19"/>
      <c r="BL37" s="19">
        <v>722</v>
      </c>
    </row>
    <row r="38" spans="1:64" ht="15" customHeight="1">
      <c r="A38" s="26" t="s">
        <v>357</v>
      </c>
      <c r="B38" s="21" t="s">
        <v>2</v>
      </c>
      <c r="C38" s="21" t="s">
        <v>487</v>
      </c>
      <c r="D38" s="64" t="s">
        <v>610</v>
      </c>
      <c r="E38" s="64"/>
      <c r="F38" s="21" t="s">
        <v>139</v>
      </c>
      <c r="G38" s="19">
        <v>46</v>
      </c>
      <c r="H38" s="19">
        <v>0</v>
      </c>
      <c r="I38" s="19">
        <f t="shared" si="24"/>
        <v>0</v>
      </c>
      <c r="J38" s="19">
        <f t="shared" si="25"/>
        <v>0</v>
      </c>
      <c r="K38" s="19">
        <f t="shared" si="26"/>
        <v>0</v>
      </c>
      <c r="L38" s="19">
        <v>0</v>
      </c>
      <c r="M38" s="19">
        <f t="shared" si="27"/>
        <v>0</v>
      </c>
      <c r="N38" s="41" t="s">
        <v>476</v>
      </c>
      <c r="Z38" s="19">
        <f t="shared" si="28"/>
        <v>0</v>
      </c>
      <c r="AB38" s="19">
        <f t="shared" si="29"/>
        <v>0</v>
      </c>
      <c r="AC38" s="19">
        <f t="shared" si="30"/>
        <v>0</v>
      </c>
      <c r="AD38" s="19">
        <f t="shared" si="31"/>
        <v>0</v>
      </c>
      <c r="AE38" s="19">
        <f t="shared" si="32"/>
        <v>0</v>
      </c>
      <c r="AF38" s="19">
        <f t="shared" si="33"/>
        <v>0</v>
      </c>
      <c r="AG38" s="19">
        <f t="shared" si="34"/>
        <v>0</v>
      </c>
      <c r="AH38" s="19">
        <f t="shared" si="35"/>
        <v>0</v>
      </c>
      <c r="AI38" s="51" t="s">
        <v>2</v>
      </c>
      <c r="AJ38" s="19">
        <f t="shared" si="36"/>
        <v>0</v>
      </c>
      <c r="AK38" s="19">
        <f t="shared" si="37"/>
        <v>0</v>
      </c>
      <c r="AL38" s="19">
        <f t="shared" si="38"/>
        <v>0</v>
      </c>
      <c r="AN38" s="19">
        <v>21</v>
      </c>
      <c r="AO38" s="19">
        <f>H38*0</f>
        <v>0</v>
      </c>
      <c r="AP38" s="19">
        <f>H38*(1-0)</f>
        <v>0</v>
      </c>
      <c r="AQ38" s="3" t="s">
        <v>575</v>
      </c>
      <c r="AV38" s="19">
        <f t="shared" si="39"/>
        <v>0</v>
      </c>
      <c r="AW38" s="19">
        <f t="shared" si="40"/>
        <v>0</v>
      </c>
      <c r="AX38" s="19">
        <f t="shared" si="41"/>
        <v>0</v>
      </c>
      <c r="AY38" s="3" t="s">
        <v>356</v>
      </c>
      <c r="AZ38" s="3" t="s">
        <v>393</v>
      </c>
      <c r="BA38" s="51" t="s">
        <v>503</v>
      </c>
      <c r="BC38" s="19">
        <f t="shared" si="42"/>
        <v>0</v>
      </c>
      <c r="BD38" s="19">
        <f t="shared" si="43"/>
        <v>0</v>
      </c>
      <c r="BE38" s="19">
        <v>0</v>
      </c>
      <c r="BF38" s="19">
        <f t="shared" si="44"/>
        <v>0</v>
      </c>
      <c r="BH38" s="19">
        <f t="shared" si="45"/>
        <v>0</v>
      </c>
      <c r="BI38" s="19">
        <f t="shared" si="46"/>
        <v>0</v>
      </c>
      <c r="BJ38" s="19">
        <f t="shared" si="47"/>
        <v>0</v>
      </c>
      <c r="BK38" s="19"/>
      <c r="BL38" s="19">
        <v>722</v>
      </c>
    </row>
    <row r="39" spans="1:47" ht="15" customHeight="1">
      <c r="A39" s="61" t="s">
        <v>392</v>
      </c>
      <c r="B39" s="36" t="s">
        <v>2</v>
      </c>
      <c r="C39" s="36" t="s">
        <v>407</v>
      </c>
      <c r="D39" s="68" t="s">
        <v>278</v>
      </c>
      <c r="E39" s="68"/>
      <c r="F39" s="1" t="s">
        <v>525</v>
      </c>
      <c r="G39" s="1" t="s">
        <v>525</v>
      </c>
      <c r="H39" s="1" t="s">
        <v>525</v>
      </c>
      <c r="I39" s="33">
        <f>SUM(I40:I40)</f>
        <v>0</v>
      </c>
      <c r="J39" s="33">
        <f>SUM(J40:J40)</f>
        <v>0</v>
      </c>
      <c r="K39" s="33">
        <f>SUM(K40:K40)</f>
        <v>0</v>
      </c>
      <c r="L39" s="51" t="s">
        <v>392</v>
      </c>
      <c r="M39" s="33">
        <f>SUM(M40:M40)</f>
        <v>0</v>
      </c>
      <c r="N39" s="58" t="s">
        <v>392</v>
      </c>
      <c r="AI39" s="51" t="s">
        <v>2</v>
      </c>
      <c r="AS39" s="33">
        <f>SUM(AJ40:AJ40)</f>
        <v>0</v>
      </c>
      <c r="AT39" s="33">
        <f>SUM(AK40:AK40)</f>
        <v>0</v>
      </c>
      <c r="AU39" s="33">
        <f>SUM(AL40:AL40)</f>
        <v>0</v>
      </c>
    </row>
    <row r="40" spans="1:64" ht="15" customHeight="1">
      <c r="A40" s="26" t="s">
        <v>22</v>
      </c>
      <c r="B40" s="21" t="s">
        <v>2</v>
      </c>
      <c r="C40" s="21" t="s">
        <v>179</v>
      </c>
      <c r="D40" s="64" t="s">
        <v>335</v>
      </c>
      <c r="E40" s="64"/>
      <c r="F40" s="21" t="s">
        <v>139</v>
      </c>
      <c r="G40" s="19">
        <v>3</v>
      </c>
      <c r="H40" s="19">
        <v>0</v>
      </c>
      <c r="I40" s="19">
        <f>G40*AO40</f>
        <v>0</v>
      </c>
      <c r="J40" s="19">
        <f>G40*AP40</f>
        <v>0</v>
      </c>
      <c r="K40" s="19">
        <f>G40*H40</f>
        <v>0</v>
      </c>
      <c r="L40" s="19">
        <v>0</v>
      </c>
      <c r="M40" s="19">
        <f>G40*L40</f>
        <v>0</v>
      </c>
      <c r="N40" s="41" t="s">
        <v>476</v>
      </c>
      <c r="Z40" s="19">
        <f>IF(AQ40="5",BJ40,0)</f>
        <v>0</v>
      </c>
      <c r="AB40" s="19">
        <f>IF(AQ40="1",BH40,0)</f>
        <v>0</v>
      </c>
      <c r="AC40" s="19">
        <f>IF(AQ40="1",BI40,0)</f>
        <v>0</v>
      </c>
      <c r="AD40" s="19">
        <f>IF(AQ40="7",BH40,0)</f>
        <v>0</v>
      </c>
      <c r="AE40" s="19">
        <f>IF(AQ40="7",BI40,0)</f>
        <v>0</v>
      </c>
      <c r="AF40" s="19">
        <f>IF(AQ40="2",BH40,0)</f>
        <v>0</v>
      </c>
      <c r="AG40" s="19">
        <f>IF(AQ40="2",BI40,0)</f>
        <v>0</v>
      </c>
      <c r="AH40" s="19">
        <f>IF(AQ40="0",BJ40,0)</f>
        <v>0</v>
      </c>
      <c r="AI40" s="51" t="s">
        <v>2</v>
      </c>
      <c r="AJ40" s="19">
        <f>IF(AN40=0,K40,0)</f>
        <v>0</v>
      </c>
      <c r="AK40" s="19">
        <f>IF(AN40=15,K40,0)</f>
        <v>0</v>
      </c>
      <c r="AL40" s="19">
        <f>IF(AN40=21,K40,0)</f>
        <v>0</v>
      </c>
      <c r="AN40" s="19">
        <v>21</v>
      </c>
      <c r="AO40" s="19">
        <f>H40*0.959676039119804</f>
        <v>0</v>
      </c>
      <c r="AP40" s="19">
        <f>H40*(1-0.959676039119804)</f>
        <v>0</v>
      </c>
      <c r="AQ40" s="3" t="s">
        <v>575</v>
      </c>
      <c r="AV40" s="19">
        <f>AW40+AX40</f>
        <v>0</v>
      </c>
      <c r="AW40" s="19">
        <f>G40*AO40</f>
        <v>0</v>
      </c>
      <c r="AX40" s="19">
        <f>G40*AP40</f>
        <v>0</v>
      </c>
      <c r="AY40" s="3" t="s">
        <v>268</v>
      </c>
      <c r="AZ40" s="3" t="s">
        <v>393</v>
      </c>
      <c r="BA40" s="51" t="s">
        <v>503</v>
      </c>
      <c r="BC40" s="19">
        <f>AW40+AX40</f>
        <v>0</v>
      </c>
      <c r="BD40" s="19">
        <f>H40/(100-BE40)*100</f>
        <v>0</v>
      </c>
      <c r="BE40" s="19">
        <v>0</v>
      </c>
      <c r="BF40" s="19">
        <f>M40</f>
        <v>0</v>
      </c>
      <c r="BH40" s="19">
        <f>G40*AO40</f>
        <v>0</v>
      </c>
      <c r="BI40" s="19">
        <f>G40*AP40</f>
        <v>0</v>
      </c>
      <c r="BJ40" s="19">
        <f>G40*H40</f>
        <v>0</v>
      </c>
      <c r="BK40" s="19"/>
      <c r="BL40" s="19">
        <v>723</v>
      </c>
    </row>
    <row r="41" spans="1:47" ht="15" customHeight="1">
      <c r="A41" s="61" t="s">
        <v>392</v>
      </c>
      <c r="B41" s="36" t="s">
        <v>2</v>
      </c>
      <c r="C41" s="36" t="s">
        <v>217</v>
      </c>
      <c r="D41" s="68" t="s">
        <v>252</v>
      </c>
      <c r="E41" s="68"/>
      <c r="F41" s="1" t="s">
        <v>525</v>
      </c>
      <c r="G41" s="1" t="s">
        <v>525</v>
      </c>
      <c r="H41" s="1" t="s">
        <v>525</v>
      </c>
      <c r="I41" s="33">
        <f>SUM(I42:I47)</f>
        <v>0</v>
      </c>
      <c r="J41" s="33">
        <f>SUM(J42:J47)</f>
        <v>0</v>
      </c>
      <c r="K41" s="33">
        <f>SUM(K42:K47)</f>
        <v>0</v>
      </c>
      <c r="L41" s="51" t="s">
        <v>392</v>
      </c>
      <c r="M41" s="33">
        <f>SUM(M42:M47)</f>
        <v>5.10383</v>
      </c>
      <c r="N41" s="58" t="s">
        <v>392</v>
      </c>
      <c r="AI41" s="51" t="s">
        <v>2</v>
      </c>
      <c r="AS41" s="33">
        <f>SUM(AJ42:AJ47)</f>
        <v>0</v>
      </c>
      <c r="AT41" s="33">
        <f>SUM(AK42:AK47)</f>
        <v>0</v>
      </c>
      <c r="AU41" s="33">
        <f>SUM(AL42:AL47)</f>
        <v>0</v>
      </c>
    </row>
    <row r="42" spans="1:64" ht="15" customHeight="1">
      <c r="A42" s="26" t="s">
        <v>401</v>
      </c>
      <c r="B42" s="21" t="s">
        <v>2</v>
      </c>
      <c r="C42" s="21" t="s">
        <v>571</v>
      </c>
      <c r="D42" s="64" t="s">
        <v>472</v>
      </c>
      <c r="E42" s="64"/>
      <c r="F42" s="21" t="s">
        <v>442</v>
      </c>
      <c r="G42" s="19">
        <v>1</v>
      </c>
      <c r="H42" s="19">
        <v>0</v>
      </c>
      <c r="I42" s="19">
        <f aca="true" t="shared" si="48" ref="I42:I47">G42*AO42</f>
        <v>0</v>
      </c>
      <c r="J42" s="19">
        <f aca="true" t="shared" si="49" ref="J42:J47">G42*AP42</f>
        <v>0</v>
      </c>
      <c r="K42" s="19">
        <f aca="true" t="shared" si="50" ref="K42:K47">G42*H42</f>
        <v>0</v>
      </c>
      <c r="L42" s="19">
        <v>0</v>
      </c>
      <c r="M42" s="19">
        <f aca="true" t="shared" si="51" ref="M42:M47">G42*L42</f>
        <v>0</v>
      </c>
      <c r="N42" s="41" t="s">
        <v>476</v>
      </c>
      <c r="Z42" s="19">
        <f aca="true" t="shared" si="52" ref="Z42:Z47">IF(AQ42="5",BJ42,0)</f>
        <v>0</v>
      </c>
      <c r="AB42" s="19">
        <f aca="true" t="shared" si="53" ref="AB42:AB47">IF(AQ42="1",BH42,0)</f>
        <v>0</v>
      </c>
      <c r="AC42" s="19">
        <f aca="true" t="shared" si="54" ref="AC42:AC47">IF(AQ42="1",BI42,0)</f>
        <v>0</v>
      </c>
      <c r="AD42" s="19">
        <f aca="true" t="shared" si="55" ref="AD42:AD47">IF(AQ42="7",BH42,0)</f>
        <v>0</v>
      </c>
      <c r="AE42" s="19">
        <f aca="true" t="shared" si="56" ref="AE42:AE47">IF(AQ42="7",BI42,0)</f>
        <v>0</v>
      </c>
      <c r="AF42" s="19">
        <f aca="true" t="shared" si="57" ref="AF42:AF47">IF(AQ42="2",BH42,0)</f>
        <v>0</v>
      </c>
      <c r="AG42" s="19">
        <f aca="true" t="shared" si="58" ref="AG42:AG47">IF(AQ42="2",BI42,0)</f>
        <v>0</v>
      </c>
      <c r="AH42" s="19">
        <f aca="true" t="shared" si="59" ref="AH42:AH47">IF(AQ42="0",BJ42,0)</f>
        <v>0</v>
      </c>
      <c r="AI42" s="51" t="s">
        <v>2</v>
      </c>
      <c r="AJ42" s="19">
        <f aca="true" t="shared" si="60" ref="AJ42:AJ47">IF(AN42=0,K42,0)</f>
        <v>0</v>
      </c>
      <c r="AK42" s="19">
        <f aca="true" t="shared" si="61" ref="AK42:AK47">IF(AN42=15,K42,0)</f>
        <v>0</v>
      </c>
      <c r="AL42" s="19">
        <f aca="true" t="shared" si="62" ref="AL42:AL47">IF(AN42=21,K42,0)</f>
        <v>0</v>
      </c>
      <c r="AN42" s="19">
        <v>21</v>
      </c>
      <c r="AO42" s="19">
        <f>H42*0</f>
        <v>0</v>
      </c>
      <c r="AP42" s="19">
        <f>H42*(1-0)</f>
        <v>0</v>
      </c>
      <c r="AQ42" s="3" t="s">
        <v>575</v>
      </c>
      <c r="AV42" s="19">
        <f aca="true" t="shared" si="63" ref="AV42:AV47">AW42+AX42</f>
        <v>0</v>
      </c>
      <c r="AW42" s="19">
        <f aca="true" t="shared" si="64" ref="AW42:AW47">G42*AO42</f>
        <v>0</v>
      </c>
      <c r="AX42" s="19">
        <f aca="true" t="shared" si="65" ref="AX42:AX47">G42*AP42</f>
        <v>0</v>
      </c>
      <c r="AY42" s="3" t="s">
        <v>158</v>
      </c>
      <c r="AZ42" s="3" t="s">
        <v>210</v>
      </c>
      <c r="BA42" s="51" t="s">
        <v>503</v>
      </c>
      <c r="BC42" s="19">
        <f aca="true" t="shared" si="66" ref="BC42:BC47">AW42+AX42</f>
        <v>0</v>
      </c>
      <c r="BD42" s="19">
        <f aca="true" t="shared" si="67" ref="BD42:BD47">H42/(100-BE42)*100</f>
        <v>0</v>
      </c>
      <c r="BE42" s="19">
        <v>0</v>
      </c>
      <c r="BF42" s="19">
        <f aca="true" t="shared" si="68" ref="BF42:BF47">M42</f>
        <v>0</v>
      </c>
      <c r="BH42" s="19">
        <f aca="true" t="shared" si="69" ref="BH42:BH47">G42*AO42</f>
        <v>0</v>
      </c>
      <c r="BI42" s="19">
        <f aca="true" t="shared" si="70" ref="BI42:BI47">G42*AP42</f>
        <v>0</v>
      </c>
      <c r="BJ42" s="19">
        <f aca="true" t="shared" si="71" ref="BJ42:BJ47">G42*H42</f>
        <v>0</v>
      </c>
      <c r="BK42" s="19"/>
      <c r="BL42" s="19">
        <v>731</v>
      </c>
    </row>
    <row r="43" spans="1:64" ht="15" customHeight="1">
      <c r="A43" s="26" t="s">
        <v>544</v>
      </c>
      <c r="B43" s="21" t="s">
        <v>2</v>
      </c>
      <c r="C43" s="21" t="s">
        <v>411</v>
      </c>
      <c r="D43" s="64" t="s">
        <v>608</v>
      </c>
      <c r="E43" s="64"/>
      <c r="F43" s="21" t="s">
        <v>442</v>
      </c>
      <c r="G43" s="19">
        <v>1</v>
      </c>
      <c r="H43" s="19">
        <v>0</v>
      </c>
      <c r="I43" s="19">
        <f t="shared" si="48"/>
        <v>0</v>
      </c>
      <c r="J43" s="19">
        <f t="shared" si="49"/>
        <v>0</v>
      </c>
      <c r="K43" s="19">
        <f t="shared" si="50"/>
        <v>0</v>
      </c>
      <c r="L43" s="19">
        <v>0</v>
      </c>
      <c r="M43" s="19">
        <f t="shared" si="51"/>
        <v>0</v>
      </c>
      <c r="N43" s="41" t="s">
        <v>476</v>
      </c>
      <c r="Z43" s="19">
        <f t="shared" si="52"/>
        <v>0</v>
      </c>
      <c r="AB43" s="19">
        <f t="shared" si="53"/>
        <v>0</v>
      </c>
      <c r="AC43" s="19">
        <f t="shared" si="54"/>
        <v>0</v>
      </c>
      <c r="AD43" s="19">
        <f t="shared" si="55"/>
        <v>0</v>
      </c>
      <c r="AE43" s="19">
        <f t="shared" si="56"/>
        <v>0</v>
      </c>
      <c r="AF43" s="19">
        <f t="shared" si="57"/>
        <v>0</v>
      </c>
      <c r="AG43" s="19">
        <f t="shared" si="58"/>
        <v>0</v>
      </c>
      <c r="AH43" s="19">
        <f t="shared" si="59"/>
        <v>0</v>
      </c>
      <c r="AI43" s="51" t="s">
        <v>2</v>
      </c>
      <c r="AJ43" s="19">
        <f t="shared" si="60"/>
        <v>0</v>
      </c>
      <c r="AK43" s="19">
        <f t="shared" si="61"/>
        <v>0</v>
      </c>
      <c r="AL43" s="19">
        <f t="shared" si="62"/>
        <v>0</v>
      </c>
      <c r="AN43" s="19">
        <v>21</v>
      </c>
      <c r="AO43" s="19">
        <f>H43*0</f>
        <v>0</v>
      </c>
      <c r="AP43" s="19">
        <f>H43*(1-0)</f>
        <v>0</v>
      </c>
      <c r="AQ43" s="3" t="s">
        <v>575</v>
      </c>
      <c r="AV43" s="19">
        <f t="shared" si="63"/>
        <v>0</v>
      </c>
      <c r="AW43" s="19">
        <f t="shared" si="64"/>
        <v>0</v>
      </c>
      <c r="AX43" s="19">
        <f t="shared" si="65"/>
        <v>0</v>
      </c>
      <c r="AY43" s="3" t="s">
        <v>158</v>
      </c>
      <c r="AZ43" s="3" t="s">
        <v>210</v>
      </c>
      <c r="BA43" s="51" t="s">
        <v>503</v>
      </c>
      <c r="BC43" s="19">
        <f t="shared" si="66"/>
        <v>0</v>
      </c>
      <c r="BD43" s="19">
        <f t="shared" si="67"/>
        <v>0</v>
      </c>
      <c r="BE43" s="19">
        <v>0</v>
      </c>
      <c r="BF43" s="19">
        <f t="shared" si="68"/>
        <v>0</v>
      </c>
      <c r="BH43" s="19">
        <f t="shared" si="69"/>
        <v>0</v>
      </c>
      <c r="BI43" s="19">
        <f t="shared" si="70"/>
        <v>0</v>
      </c>
      <c r="BJ43" s="19">
        <f t="shared" si="71"/>
        <v>0</v>
      </c>
      <c r="BK43" s="19"/>
      <c r="BL43" s="19">
        <v>731</v>
      </c>
    </row>
    <row r="44" spans="1:64" ht="15" customHeight="1">
      <c r="A44" s="26" t="s">
        <v>254</v>
      </c>
      <c r="B44" s="21" t="s">
        <v>2</v>
      </c>
      <c r="C44" s="21" t="s">
        <v>569</v>
      </c>
      <c r="D44" s="64" t="s">
        <v>169</v>
      </c>
      <c r="E44" s="64"/>
      <c r="F44" s="21" t="s">
        <v>198</v>
      </c>
      <c r="G44" s="19">
        <v>3</v>
      </c>
      <c r="H44" s="19">
        <v>0</v>
      </c>
      <c r="I44" s="19">
        <f t="shared" si="48"/>
        <v>0</v>
      </c>
      <c r="J44" s="19">
        <f t="shared" si="49"/>
        <v>0</v>
      </c>
      <c r="K44" s="19">
        <f t="shared" si="50"/>
        <v>0</v>
      </c>
      <c r="L44" s="19">
        <v>0.00062</v>
      </c>
      <c r="M44" s="19">
        <f t="shared" si="51"/>
        <v>0.00186</v>
      </c>
      <c r="N44" s="41" t="s">
        <v>476</v>
      </c>
      <c r="Z44" s="19">
        <f t="shared" si="52"/>
        <v>0</v>
      </c>
      <c r="AB44" s="19">
        <f t="shared" si="53"/>
        <v>0</v>
      </c>
      <c r="AC44" s="19">
        <f t="shared" si="54"/>
        <v>0</v>
      </c>
      <c r="AD44" s="19">
        <f t="shared" si="55"/>
        <v>0</v>
      </c>
      <c r="AE44" s="19">
        <f t="shared" si="56"/>
        <v>0</v>
      </c>
      <c r="AF44" s="19">
        <f t="shared" si="57"/>
        <v>0</v>
      </c>
      <c r="AG44" s="19">
        <f t="shared" si="58"/>
        <v>0</v>
      </c>
      <c r="AH44" s="19">
        <f t="shared" si="59"/>
        <v>0</v>
      </c>
      <c r="AI44" s="51" t="s">
        <v>2</v>
      </c>
      <c r="AJ44" s="19">
        <f t="shared" si="60"/>
        <v>0</v>
      </c>
      <c r="AK44" s="19">
        <f t="shared" si="61"/>
        <v>0</v>
      </c>
      <c r="AL44" s="19">
        <f t="shared" si="62"/>
        <v>0</v>
      </c>
      <c r="AN44" s="19">
        <v>21</v>
      </c>
      <c r="AO44" s="19">
        <f>H44*0.0174318367346939</f>
        <v>0</v>
      </c>
      <c r="AP44" s="19">
        <f>H44*(1-0.0174318367346939)</f>
        <v>0</v>
      </c>
      <c r="AQ44" s="3" t="s">
        <v>575</v>
      </c>
      <c r="AV44" s="19">
        <f t="shared" si="63"/>
        <v>0</v>
      </c>
      <c r="AW44" s="19">
        <f t="shared" si="64"/>
        <v>0</v>
      </c>
      <c r="AX44" s="19">
        <f t="shared" si="65"/>
        <v>0</v>
      </c>
      <c r="AY44" s="3" t="s">
        <v>158</v>
      </c>
      <c r="AZ44" s="3" t="s">
        <v>210</v>
      </c>
      <c r="BA44" s="51" t="s">
        <v>503</v>
      </c>
      <c r="BC44" s="19">
        <f t="shared" si="66"/>
        <v>0</v>
      </c>
      <c r="BD44" s="19">
        <f t="shared" si="67"/>
        <v>0</v>
      </c>
      <c r="BE44" s="19">
        <v>0</v>
      </c>
      <c r="BF44" s="19">
        <f t="shared" si="68"/>
        <v>0.00186</v>
      </c>
      <c r="BH44" s="19">
        <f t="shared" si="69"/>
        <v>0</v>
      </c>
      <c r="BI44" s="19">
        <f t="shared" si="70"/>
        <v>0</v>
      </c>
      <c r="BJ44" s="19">
        <f t="shared" si="71"/>
        <v>0</v>
      </c>
      <c r="BK44" s="19"/>
      <c r="BL44" s="19">
        <v>731</v>
      </c>
    </row>
    <row r="45" spans="1:64" ht="15" customHeight="1">
      <c r="A45" s="26" t="s">
        <v>50</v>
      </c>
      <c r="B45" s="21" t="s">
        <v>2</v>
      </c>
      <c r="C45" s="21" t="s">
        <v>211</v>
      </c>
      <c r="D45" s="64" t="s">
        <v>243</v>
      </c>
      <c r="E45" s="64"/>
      <c r="F45" s="21" t="s">
        <v>198</v>
      </c>
      <c r="G45" s="19">
        <v>1</v>
      </c>
      <c r="H45" s="19">
        <v>0</v>
      </c>
      <c r="I45" s="19">
        <f t="shared" si="48"/>
        <v>0</v>
      </c>
      <c r="J45" s="19">
        <f t="shared" si="49"/>
        <v>0</v>
      </c>
      <c r="K45" s="19">
        <f t="shared" si="50"/>
        <v>0</v>
      </c>
      <c r="L45" s="19">
        <v>0.00039</v>
      </c>
      <c r="M45" s="19">
        <f t="shared" si="51"/>
        <v>0.00039</v>
      </c>
      <c r="N45" s="41" t="s">
        <v>476</v>
      </c>
      <c r="Z45" s="19">
        <f t="shared" si="52"/>
        <v>0</v>
      </c>
      <c r="AB45" s="19">
        <f t="shared" si="53"/>
        <v>0</v>
      </c>
      <c r="AC45" s="19">
        <f t="shared" si="54"/>
        <v>0</v>
      </c>
      <c r="AD45" s="19">
        <f t="shared" si="55"/>
        <v>0</v>
      </c>
      <c r="AE45" s="19">
        <f t="shared" si="56"/>
        <v>0</v>
      </c>
      <c r="AF45" s="19">
        <f t="shared" si="57"/>
        <v>0</v>
      </c>
      <c r="AG45" s="19">
        <f t="shared" si="58"/>
        <v>0</v>
      </c>
      <c r="AH45" s="19">
        <f t="shared" si="59"/>
        <v>0</v>
      </c>
      <c r="AI45" s="51" t="s">
        <v>2</v>
      </c>
      <c r="AJ45" s="19">
        <f t="shared" si="60"/>
        <v>0</v>
      </c>
      <c r="AK45" s="19">
        <f t="shared" si="61"/>
        <v>0</v>
      </c>
      <c r="AL45" s="19">
        <f t="shared" si="62"/>
        <v>0</v>
      </c>
      <c r="AN45" s="19">
        <v>21</v>
      </c>
      <c r="AO45" s="19">
        <f>H45*0.0108614130434783</f>
        <v>0</v>
      </c>
      <c r="AP45" s="19">
        <f>H45*(1-0.0108614130434783)</f>
        <v>0</v>
      </c>
      <c r="AQ45" s="3" t="s">
        <v>575</v>
      </c>
      <c r="AV45" s="19">
        <f t="shared" si="63"/>
        <v>0</v>
      </c>
      <c r="AW45" s="19">
        <f t="shared" si="64"/>
        <v>0</v>
      </c>
      <c r="AX45" s="19">
        <f t="shared" si="65"/>
        <v>0</v>
      </c>
      <c r="AY45" s="3" t="s">
        <v>158</v>
      </c>
      <c r="AZ45" s="3" t="s">
        <v>210</v>
      </c>
      <c r="BA45" s="51" t="s">
        <v>503</v>
      </c>
      <c r="BC45" s="19">
        <f t="shared" si="66"/>
        <v>0</v>
      </c>
      <c r="BD45" s="19">
        <f t="shared" si="67"/>
        <v>0</v>
      </c>
      <c r="BE45" s="19">
        <v>0</v>
      </c>
      <c r="BF45" s="19">
        <f t="shared" si="68"/>
        <v>0.00039</v>
      </c>
      <c r="BH45" s="19">
        <f t="shared" si="69"/>
        <v>0</v>
      </c>
      <c r="BI45" s="19">
        <f t="shared" si="70"/>
        <v>0</v>
      </c>
      <c r="BJ45" s="19">
        <f t="shared" si="71"/>
        <v>0</v>
      </c>
      <c r="BK45" s="19"/>
      <c r="BL45" s="19">
        <v>731</v>
      </c>
    </row>
    <row r="46" spans="1:64" ht="15" customHeight="1">
      <c r="A46" s="26" t="s">
        <v>138</v>
      </c>
      <c r="B46" s="21" t="s">
        <v>2</v>
      </c>
      <c r="C46" s="21" t="s">
        <v>10</v>
      </c>
      <c r="D46" s="64" t="s">
        <v>240</v>
      </c>
      <c r="E46" s="64"/>
      <c r="F46" s="21" t="s">
        <v>139</v>
      </c>
      <c r="G46" s="19">
        <v>2</v>
      </c>
      <c r="H46" s="19">
        <v>0</v>
      </c>
      <c r="I46" s="19">
        <f t="shared" si="48"/>
        <v>0</v>
      </c>
      <c r="J46" s="19">
        <f t="shared" si="49"/>
        <v>0</v>
      </c>
      <c r="K46" s="19">
        <f t="shared" si="50"/>
        <v>0</v>
      </c>
      <c r="L46" s="19">
        <v>2.55079</v>
      </c>
      <c r="M46" s="19">
        <f t="shared" si="51"/>
        <v>5.10158</v>
      </c>
      <c r="N46" s="41" t="s">
        <v>476</v>
      </c>
      <c r="Z46" s="19">
        <f t="shared" si="52"/>
        <v>0</v>
      </c>
      <c r="AB46" s="19">
        <f t="shared" si="53"/>
        <v>0</v>
      </c>
      <c r="AC46" s="19">
        <f t="shared" si="54"/>
        <v>0</v>
      </c>
      <c r="AD46" s="19">
        <f t="shared" si="55"/>
        <v>0</v>
      </c>
      <c r="AE46" s="19">
        <f t="shared" si="56"/>
        <v>0</v>
      </c>
      <c r="AF46" s="19">
        <f t="shared" si="57"/>
        <v>0</v>
      </c>
      <c r="AG46" s="19">
        <f t="shared" si="58"/>
        <v>0</v>
      </c>
      <c r="AH46" s="19">
        <f t="shared" si="59"/>
        <v>0</v>
      </c>
      <c r="AI46" s="51" t="s">
        <v>2</v>
      </c>
      <c r="AJ46" s="19">
        <f t="shared" si="60"/>
        <v>0</v>
      </c>
      <c r="AK46" s="19">
        <f t="shared" si="61"/>
        <v>0</v>
      </c>
      <c r="AL46" s="19">
        <f t="shared" si="62"/>
        <v>0</v>
      </c>
      <c r="AN46" s="19">
        <v>21</v>
      </c>
      <c r="AO46" s="19">
        <f>H46*0.00514499700419413</f>
        <v>0</v>
      </c>
      <c r="AP46" s="19">
        <f>H46*(1-0.00514499700419413)</f>
        <v>0</v>
      </c>
      <c r="AQ46" s="3" t="s">
        <v>575</v>
      </c>
      <c r="AV46" s="19">
        <f t="shared" si="63"/>
        <v>0</v>
      </c>
      <c r="AW46" s="19">
        <f t="shared" si="64"/>
        <v>0</v>
      </c>
      <c r="AX46" s="19">
        <f t="shared" si="65"/>
        <v>0</v>
      </c>
      <c r="AY46" s="3" t="s">
        <v>158</v>
      </c>
      <c r="AZ46" s="3" t="s">
        <v>210</v>
      </c>
      <c r="BA46" s="51" t="s">
        <v>503</v>
      </c>
      <c r="BC46" s="19">
        <f t="shared" si="66"/>
        <v>0</v>
      </c>
      <c r="BD46" s="19">
        <f t="shared" si="67"/>
        <v>0</v>
      </c>
      <c r="BE46" s="19">
        <v>0</v>
      </c>
      <c r="BF46" s="19">
        <f t="shared" si="68"/>
        <v>5.10158</v>
      </c>
      <c r="BH46" s="19">
        <f t="shared" si="69"/>
        <v>0</v>
      </c>
      <c r="BI46" s="19">
        <f t="shared" si="70"/>
        <v>0</v>
      </c>
      <c r="BJ46" s="19">
        <f t="shared" si="71"/>
        <v>0</v>
      </c>
      <c r="BK46" s="19"/>
      <c r="BL46" s="19">
        <v>731</v>
      </c>
    </row>
    <row r="47" spans="1:64" ht="15" customHeight="1">
      <c r="A47" s="26" t="s">
        <v>74</v>
      </c>
      <c r="B47" s="21" t="s">
        <v>2</v>
      </c>
      <c r="C47" s="21" t="s">
        <v>528</v>
      </c>
      <c r="D47" s="64" t="s">
        <v>590</v>
      </c>
      <c r="E47" s="64"/>
      <c r="F47" s="21" t="s">
        <v>396</v>
      </c>
      <c r="G47" s="19">
        <v>1</v>
      </c>
      <c r="H47" s="19">
        <v>0</v>
      </c>
      <c r="I47" s="19">
        <f t="shared" si="48"/>
        <v>0</v>
      </c>
      <c r="J47" s="19">
        <f t="shared" si="49"/>
        <v>0</v>
      </c>
      <c r="K47" s="19">
        <f t="shared" si="50"/>
        <v>0</v>
      </c>
      <c r="L47" s="19">
        <v>0</v>
      </c>
      <c r="M47" s="19">
        <f t="shared" si="51"/>
        <v>0</v>
      </c>
      <c r="N47" s="41" t="s">
        <v>476</v>
      </c>
      <c r="Z47" s="19">
        <f t="shared" si="52"/>
        <v>0</v>
      </c>
      <c r="AB47" s="19">
        <f t="shared" si="53"/>
        <v>0</v>
      </c>
      <c r="AC47" s="19">
        <f t="shared" si="54"/>
        <v>0</v>
      </c>
      <c r="AD47" s="19">
        <f t="shared" si="55"/>
        <v>0</v>
      </c>
      <c r="AE47" s="19">
        <f t="shared" si="56"/>
        <v>0</v>
      </c>
      <c r="AF47" s="19">
        <f t="shared" si="57"/>
        <v>0</v>
      </c>
      <c r="AG47" s="19">
        <f t="shared" si="58"/>
        <v>0</v>
      </c>
      <c r="AH47" s="19">
        <f t="shared" si="59"/>
        <v>0</v>
      </c>
      <c r="AI47" s="51" t="s">
        <v>2</v>
      </c>
      <c r="AJ47" s="19">
        <f t="shared" si="60"/>
        <v>0</v>
      </c>
      <c r="AK47" s="19">
        <f t="shared" si="61"/>
        <v>0</v>
      </c>
      <c r="AL47" s="19">
        <f t="shared" si="62"/>
        <v>0</v>
      </c>
      <c r="AN47" s="19">
        <v>21</v>
      </c>
      <c r="AO47" s="19">
        <f>H47*0.407407407407407</f>
        <v>0</v>
      </c>
      <c r="AP47" s="19">
        <f>H47*(1-0.407407407407407)</f>
        <v>0</v>
      </c>
      <c r="AQ47" s="3" t="s">
        <v>575</v>
      </c>
      <c r="AV47" s="19">
        <f t="shared" si="63"/>
        <v>0</v>
      </c>
      <c r="AW47" s="19">
        <f t="shared" si="64"/>
        <v>0</v>
      </c>
      <c r="AX47" s="19">
        <f t="shared" si="65"/>
        <v>0</v>
      </c>
      <c r="AY47" s="3" t="s">
        <v>158</v>
      </c>
      <c r="AZ47" s="3" t="s">
        <v>210</v>
      </c>
      <c r="BA47" s="51" t="s">
        <v>503</v>
      </c>
      <c r="BC47" s="19">
        <f t="shared" si="66"/>
        <v>0</v>
      </c>
      <c r="BD47" s="19">
        <f t="shared" si="67"/>
        <v>0</v>
      </c>
      <c r="BE47" s="19">
        <v>0</v>
      </c>
      <c r="BF47" s="19">
        <f t="shared" si="68"/>
        <v>0</v>
      </c>
      <c r="BH47" s="19">
        <f t="shared" si="69"/>
        <v>0</v>
      </c>
      <c r="BI47" s="19">
        <f t="shared" si="70"/>
        <v>0</v>
      </c>
      <c r="BJ47" s="19">
        <f t="shared" si="71"/>
        <v>0</v>
      </c>
      <c r="BK47" s="19"/>
      <c r="BL47" s="19">
        <v>731</v>
      </c>
    </row>
    <row r="48" spans="1:47" ht="15" customHeight="1">
      <c r="A48" s="61" t="s">
        <v>392</v>
      </c>
      <c r="B48" s="36" t="s">
        <v>2</v>
      </c>
      <c r="C48" s="36" t="s">
        <v>377</v>
      </c>
      <c r="D48" s="68" t="s">
        <v>574</v>
      </c>
      <c r="E48" s="68"/>
      <c r="F48" s="1" t="s">
        <v>525</v>
      </c>
      <c r="G48" s="1" t="s">
        <v>525</v>
      </c>
      <c r="H48" s="1" t="s">
        <v>525</v>
      </c>
      <c r="I48" s="33">
        <f>SUM(I49:I55)</f>
        <v>0</v>
      </c>
      <c r="J48" s="33">
        <f>SUM(J49:J55)</f>
        <v>0</v>
      </c>
      <c r="K48" s="33">
        <f>SUM(K49:K55)</f>
        <v>0</v>
      </c>
      <c r="L48" s="51" t="s">
        <v>392</v>
      </c>
      <c r="M48" s="33">
        <f>SUM(M49:M55)</f>
        <v>0.6387</v>
      </c>
      <c r="N48" s="58" t="s">
        <v>392</v>
      </c>
      <c r="AI48" s="51" t="s">
        <v>2</v>
      </c>
      <c r="AS48" s="33">
        <f>SUM(AJ49:AJ55)</f>
        <v>0</v>
      </c>
      <c r="AT48" s="33">
        <f>SUM(AK49:AK55)</f>
        <v>0</v>
      </c>
      <c r="AU48" s="33">
        <f>SUM(AL49:AL55)</f>
        <v>0</v>
      </c>
    </row>
    <row r="49" spans="1:64" ht="15" customHeight="1">
      <c r="A49" s="26" t="s">
        <v>558</v>
      </c>
      <c r="B49" s="21" t="s">
        <v>2</v>
      </c>
      <c r="C49" s="21" t="s">
        <v>488</v>
      </c>
      <c r="D49" s="64" t="s">
        <v>321</v>
      </c>
      <c r="E49" s="64"/>
      <c r="F49" s="21" t="s">
        <v>198</v>
      </c>
      <c r="G49" s="19">
        <v>1</v>
      </c>
      <c r="H49" s="19">
        <v>0</v>
      </c>
      <c r="I49" s="19">
        <f aca="true" t="shared" si="72" ref="I49:I55">G49*AO49</f>
        <v>0</v>
      </c>
      <c r="J49" s="19">
        <f aca="true" t="shared" si="73" ref="J49:J55">G49*AP49</f>
        <v>0</v>
      </c>
      <c r="K49" s="19">
        <f aca="true" t="shared" si="74" ref="K49:K55">G49*H49</f>
        <v>0</v>
      </c>
      <c r="L49" s="19">
        <v>0.03646</v>
      </c>
      <c r="M49" s="19">
        <f aca="true" t="shared" si="75" ref="M49:M55">G49*L49</f>
        <v>0.03646</v>
      </c>
      <c r="N49" s="41" t="s">
        <v>476</v>
      </c>
      <c r="Z49" s="19">
        <f aca="true" t="shared" si="76" ref="Z49:Z55">IF(AQ49="5",BJ49,0)</f>
        <v>0</v>
      </c>
      <c r="AB49" s="19">
        <f aca="true" t="shared" si="77" ref="AB49:AB55">IF(AQ49="1",BH49,0)</f>
        <v>0</v>
      </c>
      <c r="AC49" s="19">
        <f aca="true" t="shared" si="78" ref="AC49:AC55">IF(AQ49="1",BI49,0)</f>
        <v>0</v>
      </c>
      <c r="AD49" s="19">
        <f aca="true" t="shared" si="79" ref="AD49:AD55">IF(AQ49="7",BH49,0)</f>
        <v>0</v>
      </c>
      <c r="AE49" s="19">
        <f aca="true" t="shared" si="80" ref="AE49:AE55">IF(AQ49="7",BI49,0)</f>
        <v>0</v>
      </c>
      <c r="AF49" s="19">
        <f aca="true" t="shared" si="81" ref="AF49:AF55">IF(AQ49="2",BH49,0)</f>
        <v>0</v>
      </c>
      <c r="AG49" s="19">
        <f aca="true" t="shared" si="82" ref="AG49:AG55">IF(AQ49="2",BI49,0)</f>
        <v>0</v>
      </c>
      <c r="AH49" s="19">
        <f aca="true" t="shared" si="83" ref="AH49:AH55">IF(AQ49="0",BJ49,0)</f>
        <v>0</v>
      </c>
      <c r="AI49" s="51" t="s">
        <v>2</v>
      </c>
      <c r="AJ49" s="19">
        <f aca="true" t="shared" si="84" ref="AJ49:AJ55">IF(AN49=0,K49,0)</f>
        <v>0</v>
      </c>
      <c r="AK49" s="19">
        <f aca="true" t="shared" si="85" ref="AK49:AK55">IF(AN49=15,K49,0)</f>
        <v>0</v>
      </c>
      <c r="AL49" s="19">
        <f aca="true" t="shared" si="86" ref="AL49:AL55">IF(AN49=21,K49,0)</f>
        <v>0</v>
      </c>
      <c r="AN49" s="19">
        <v>21</v>
      </c>
      <c r="AO49" s="19">
        <f>H49*0.702062659822489</f>
        <v>0</v>
      </c>
      <c r="AP49" s="19">
        <f>H49*(1-0.702062659822489)</f>
        <v>0</v>
      </c>
      <c r="AQ49" s="3" t="s">
        <v>575</v>
      </c>
      <c r="AV49" s="19">
        <f aca="true" t="shared" si="87" ref="AV49:AV55">AW49+AX49</f>
        <v>0</v>
      </c>
      <c r="AW49" s="19">
        <f aca="true" t="shared" si="88" ref="AW49:AW55">G49*AO49</f>
        <v>0</v>
      </c>
      <c r="AX49" s="19">
        <f aca="true" t="shared" si="89" ref="AX49:AX55">G49*AP49</f>
        <v>0</v>
      </c>
      <c r="AY49" s="3" t="s">
        <v>261</v>
      </c>
      <c r="AZ49" s="3" t="s">
        <v>210</v>
      </c>
      <c r="BA49" s="51" t="s">
        <v>503</v>
      </c>
      <c r="BC49" s="19">
        <f aca="true" t="shared" si="90" ref="BC49:BC55">AW49+AX49</f>
        <v>0</v>
      </c>
      <c r="BD49" s="19">
        <f aca="true" t="shared" si="91" ref="BD49:BD55">H49/(100-BE49)*100</f>
        <v>0</v>
      </c>
      <c r="BE49" s="19">
        <v>0</v>
      </c>
      <c r="BF49" s="19">
        <f aca="true" t="shared" si="92" ref="BF49:BF55">M49</f>
        <v>0.03646</v>
      </c>
      <c r="BH49" s="19">
        <f aca="true" t="shared" si="93" ref="BH49:BH55">G49*AO49</f>
        <v>0</v>
      </c>
      <c r="BI49" s="19">
        <f aca="true" t="shared" si="94" ref="BI49:BI55">G49*AP49</f>
        <v>0</v>
      </c>
      <c r="BJ49" s="19">
        <f aca="true" t="shared" si="95" ref="BJ49:BJ55">G49*H49</f>
        <v>0</v>
      </c>
      <c r="BK49" s="19"/>
      <c r="BL49" s="19">
        <v>732</v>
      </c>
    </row>
    <row r="50" spans="1:64" ht="15" customHeight="1">
      <c r="A50" s="26" t="s">
        <v>623</v>
      </c>
      <c r="B50" s="21" t="s">
        <v>2</v>
      </c>
      <c r="C50" s="21" t="s">
        <v>492</v>
      </c>
      <c r="D50" s="64" t="s">
        <v>132</v>
      </c>
      <c r="E50" s="64"/>
      <c r="F50" s="21" t="s">
        <v>198</v>
      </c>
      <c r="G50" s="19">
        <v>6</v>
      </c>
      <c r="H50" s="19">
        <v>0</v>
      </c>
      <c r="I50" s="19">
        <f t="shared" si="72"/>
        <v>0</v>
      </c>
      <c r="J50" s="19">
        <f t="shared" si="73"/>
        <v>0</v>
      </c>
      <c r="K50" s="19">
        <f t="shared" si="74"/>
        <v>0</v>
      </c>
      <c r="L50" s="19">
        <v>0.00059</v>
      </c>
      <c r="M50" s="19">
        <f t="shared" si="75"/>
        <v>0.00354</v>
      </c>
      <c r="N50" s="41" t="s">
        <v>476</v>
      </c>
      <c r="Z50" s="19">
        <f t="shared" si="76"/>
        <v>0</v>
      </c>
      <c r="AB50" s="19">
        <f t="shared" si="77"/>
        <v>0</v>
      </c>
      <c r="AC50" s="19">
        <f t="shared" si="78"/>
        <v>0</v>
      </c>
      <c r="AD50" s="19">
        <f t="shared" si="79"/>
        <v>0</v>
      </c>
      <c r="AE50" s="19">
        <f t="shared" si="80"/>
        <v>0</v>
      </c>
      <c r="AF50" s="19">
        <f t="shared" si="81"/>
        <v>0</v>
      </c>
      <c r="AG50" s="19">
        <f t="shared" si="82"/>
        <v>0</v>
      </c>
      <c r="AH50" s="19">
        <f t="shared" si="83"/>
        <v>0</v>
      </c>
      <c r="AI50" s="51" t="s">
        <v>2</v>
      </c>
      <c r="AJ50" s="19">
        <f t="shared" si="84"/>
        <v>0</v>
      </c>
      <c r="AK50" s="19">
        <f t="shared" si="85"/>
        <v>0</v>
      </c>
      <c r="AL50" s="19">
        <f t="shared" si="86"/>
        <v>0</v>
      </c>
      <c r="AN50" s="19">
        <v>21</v>
      </c>
      <c r="AO50" s="19">
        <f>H50*0.285602027883397</f>
        <v>0</v>
      </c>
      <c r="AP50" s="19">
        <f>H50*(1-0.285602027883397)</f>
        <v>0</v>
      </c>
      <c r="AQ50" s="3" t="s">
        <v>575</v>
      </c>
      <c r="AV50" s="19">
        <f t="shared" si="87"/>
        <v>0</v>
      </c>
      <c r="AW50" s="19">
        <f t="shared" si="88"/>
        <v>0</v>
      </c>
      <c r="AX50" s="19">
        <f t="shared" si="89"/>
        <v>0</v>
      </c>
      <c r="AY50" s="3" t="s">
        <v>261</v>
      </c>
      <c r="AZ50" s="3" t="s">
        <v>210</v>
      </c>
      <c r="BA50" s="51" t="s">
        <v>503</v>
      </c>
      <c r="BC50" s="19">
        <f t="shared" si="90"/>
        <v>0</v>
      </c>
      <c r="BD50" s="19">
        <f t="shared" si="91"/>
        <v>0</v>
      </c>
      <c r="BE50" s="19">
        <v>0</v>
      </c>
      <c r="BF50" s="19">
        <f t="shared" si="92"/>
        <v>0.00354</v>
      </c>
      <c r="BH50" s="19">
        <f t="shared" si="93"/>
        <v>0</v>
      </c>
      <c r="BI50" s="19">
        <f t="shared" si="94"/>
        <v>0</v>
      </c>
      <c r="BJ50" s="19">
        <f t="shared" si="95"/>
        <v>0</v>
      </c>
      <c r="BK50" s="19"/>
      <c r="BL50" s="19">
        <v>732</v>
      </c>
    </row>
    <row r="51" spans="1:64" ht="15" customHeight="1">
      <c r="A51" s="26" t="s">
        <v>39</v>
      </c>
      <c r="B51" s="21" t="s">
        <v>2</v>
      </c>
      <c r="C51" s="21" t="s">
        <v>535</v>
      </c>
      <c r="D51" s="64" t="s">
        <v>371</v>
      </c>
      <c r="E51" s="64"/>
      <c r="F51" s="21" t="s">
        <v>198</v>
      </c>
      <c r="G51" s="19">
        <v>1</v>
      </c>
      <c r="H51" s="19">
        <v>0</v>
      </c>
      <c r="I51" s="19">
        <f t="shared" si="72"/>
        <v>0</v>
      </c>
      <c r="J51" s="19">
        <f t="shared" si="73"/>
        <v>0</v>
      </c>
      <c r="K51" s="19">
        <f t="shared" si="74"/>
        <v>0</v>
      </c>
      <c r="L51" s="19">
        <v>0.00932</v>
      </c>
      <c r="M51" s="19">
        <f t="shared" si="75"/>
        <v>0.00932</v>
      </c>
      <c r="N51" s="41" t="s">
        <v>476</v>
      </c>
      <c r="Z51" s="19">
        <f t="shared" si="76"/>
        <v>0</v>
      </c>
      <c r="AB51" s="19">
        <f t="shared" si="77"/>
        <v>0</v>
      </c>
      <c r="AC51" s="19">
        <f t="shared" si="78"/>
        <v>0</v>
      </c>
      <c r="AD51" s="19">
        <f t="shared" si="79"/>
        <v>0</v>
      </c>
      <c r="AE51" s="19">
        <f t="shared" si="80"/>
        <v>0</v>
      </c>
      <c r="AF51" s="19">
        <f t="shared" si="81"/>
        <v>0</v>
      </c>
      <c r="AG51" s="19">
        <f t="shared" si="82"/>
        <v>0</v>
      </c>
      <c r="AH51" s="19">
        <f t="shared" si="83"/>
        <v>0</v>
      </c>
      <c r="AI51" s="51" t="s">
        <v>2</v>
      </c>
      <c r="AJ51" s="19">
        <f t="shared" si="84"/>
        <v>0</v>
      </c>
      <c r="AK51" s="19">
        <f t="shared" si="85"/>
        <v>0</v>
      </c>
      <c r="AL51" s="19">
        <f t="shared" si="86"/>
        <v>0</v>
      </c>
      <c r="AN51" s="19">
        <v>21</v>
      </c>
      <c r="AO51" s="19">
        <f>H51*0.587834002677376</f>
        <v>0</v>
      </c>
      <c r="AP51" s="19">
        <f>H51*(1-0.587834002677376)</f>
        <v>0</v>
      </c>
      <c r="AQ51" s="3" t="s">
        <v>575</v>
      </c>
      <c r="AV51" s="19">
        <f t="shared" si="87"/>
        <v>0</v>
      </c>
      <c r="AW51" s="19">
        <f t="shared" si="88"/>
        <v>0</v>
      </c>
      <c r="AX51" s="19">
        <f t="shared" si="89"/>
        <v>0</v>
      </c>
      <c r="AY51" s="3" t="s">
        <v>261</v>
      </c>
      <c r="AZ51" s="3" t="s">
        <v>210</v>
      </c>
      <c r="BA51" s="51" t="s">
        <v>503</v>
      </c>
      <c r="BC51" s="19">
        <f t="shared" si="90"/>
        <v>0</v>
      </c>
      <c r="BD51" s="19">
        <f t="shared" si="91"/>
        <v>0</v>
      </c>
      <c r="BE51" s="19">
        <v>0</v>
      </c>
      <c r="BF51" s="19">
        <f t="shared" si="92"/>
        <v>0.00932</v>
      </c>
      <c r="BH51" s="19">
        <f t="shared" si="93"/>
        <v>0</v>
      </c>
      <c r="BI51" s="19">
        <f t="shared" si="94"/>
        <v>0</v>
      </c>
      <c r="BJ51" s="19">
        <f t="shared" si="95"/>
        <v>0</v>
      </c>
      <c r="BK51" s="19"/>
      <c r="BL51" s="19">
        <v>732</v>
      </c>
    </row>
    <row r="52" spans="1:64" ht="15" customHeight="1">
      <c r="A52" s="26" t="s">
        <v>364</v>
      </c>
      <c r="B52" s="21" t="s">
        <v>2</v>
      </c>
      <c r="C52" s="21" t="s">
        <v>614</v>
      </c>
      <c r="D52" s="64" t="s">
        <v>601</v>
      </c>
      <c r="E52" s="64"/>
      <c r="F52" s="21" t="s">
        <v>198</v>
      </c>
      <c r="G52" s="19">
        <v>2</v>
      </c>
      <c r="H52" s="19">
        <v>0</v>
      </c>
      <c r="I52" s="19">
        <f t="shared" si="72"/>
        <v>0</v>
      </c>
      <c r="J52" s="19">
        <f t="shared" si="73"/>
        <v>0</v>
      </c>
      <c r="K52" s="19">
        <f t="shared" si="74"/>
        <v>0</v>
      </c>
      <c r="L52" s="19">
        <v>0.03871</v>
      </c>
      <c r="M52" s="19">
        <f t="shared" si="75"/>
        <v>0.07742</v>
      </c>
      <c r="N52" s="41" t="s">
        <v>476</v>
      </c>
      <c r="Z52" s="19">
        <f t="shared" si="76"/>
        <v>0</v>
      </c>
      <c r="AB52" s="19">
        <f t="shared" si="77"/>
        <v>0</v>
      </c>
      <c r="AC52" s="19">
        <f t="shared" si="78"/>
        <v>0</v>
      </c>
      <c r="AD52" s="19">
        <f t="shared" si="79"/>
        <v>0</v>
      </c>
      <c r="AE52" s="19">
        <f t="shared" si="80"/>
        <v>0</v>
      </c>
      <c r="AF52" s="19">
        <f t="shared" si="81"/>
        <v>0</v>
      </c>
      <c r="AG52" s="19">
        <f t="shared" si="82"/>
        <v>0</v>
      </c>
      <c r="AH52" s="19">
        <f t="shared" si="83"/>
        <v>0</v>
      </c>
      <c r="AI52" s="51" t="s">
        <v>2</v>
      </c>
      <c r="AJ52" s="19">
        <f t="shared" si="84"/>
        <v>0</v>
      </c>
      <c r="AK52" s="19">
        <f t="shared" si="85"/>
        <v>0</v>
      </c>
      <c r="AL52" s="19">
        <f t="shared" si="86"/>
        <v>0</v>
      </c>
      <c r="AN52" s="19">
        <v>21</v>
      </c>
      <c r="AO52" s="19">
        <f>H52*0.917988417892694</f>
        <v>0</v>
      </c>
      <c r="AP52" s="19">
        <f>H52*(1-0.917988417892694)</f>
        <v>0</v>
      </c>
      <c r="AQ52" s="3" t="s">
        <v>575</v>
      </c>
      <c r="AV52" s="19">
        <f t="shared" si="87"/>
        <v>0</v>
      </c>
      <c r="AW52" s="19">
        <f t="shared" si="88"/>
        <v>0</v>
      </c>
      <c r="AX52" s="19">
        <f t="shared" si="89"/>
        <v>0</v>
      </c>
      <c r="AY52" s="3" t="s">
        <v>261</v>
      </c>
      <c r="AZ52" s="3" t="s">
        <v>210</v>
      </c>
      <c r="BA52" s="51" t="s">
        <v>503</v>
      </c>
      <c r="BC52" s="19">
        <f t="shared" si="90"/>
        <v>0</v>
      </c>
      <c r="BD52" s="19">
        <f t="shared" si="91"/>
        <v>0</v>
      </c>
      <c r="BE52" s="19">
        <v>0</v>
      </c>
      <c r="BF52" s="19">
        <f t="shared" si="92"/>
        <v>0.07742</v>
      </c>
      <c r="BH52" s="19">
        <f t="shared" si="93"/>
        <v>0</v>
      </c>
      <c r="BI52" s="19">
        <f t="shared" si="94"/>
        <v>0</v>
      </c>
      <c r="BJ52" s="19">
        <f t="shared" si="95"/>
        <v>0</v>
      </c>
      <c r="BK52" s="19"/>
      <c r="BL52" s="19">
        <v>732</v>
      </c>
    </row>
    <row r="53" spans="1:64" ht="15" customHeight="1">
      <c r="A53" s="26" t="s">
        <v>340</v>
      </c>
      <c r="B53" s="21" t="s">
        <v>2</v>
      </c>
      <c r="C53" s="21" t="s">
        <v>301</v>
      </c>
      <c r="D53" s="64" t="s">
        <v>83</v>
      </c>
      <c r="E53" s="64"/>
      <c r="F53" s="21" t="s">
        <v>139</v>
      </c>
      <c r="G53" s="19">
        <v>1</v>
      </c>
      <c r="H53" s="19">
        <v>0</v>
      </c>
      <c r="I53" s="19">
        <f t="shared" si="72"/>
        <v>0</v>
      </c>
      <c r="J53" s="19">
        <f t="shared" si="73"/>
        <v>0</v>
      </c>
      <c r="K53" s="19">
        <f t="shared" si="74"/>
        <v>0</v>
      </c>
      <c r="L53" s="19">
        <v>0.51196</v>
      </c>
      <c r="M53" s="19">
        <f t="shared" si="75"/>
        <v>0.51196</v>
      </c>
      <c r="N53" s="41" t="s">
        <v>476</v>
      </c>
      <c r="Z53" s="19">
        <f t="shared" si="76"/>
        <v>0</v>
      </c>
      <c r="AB53" s="19">
        <f t="shared" si="77"/>
        <v>0</v>
      </c>
      <c r="AC53" s="19">
        <f t="shared" si="78"/>
        <v>0</v>
      </c>
      <c r="AD53" s="19">
        <f t="shared" si="79"/>
        <v>0</v>
      </c>
      <c r="AE53" s="19">
        <f t="shared" si="80"/>
        <v>0</v>
      </c>
      <c r="AF53" s="19">
        <f t="shared" si="81"/>
        <v>0</v>
      </c>
      <c r="AG53" s="19">
        <f t="shared" si="82"/>
        <v>0</v>
      </c>
      <c r="AH53" s="19">
        <f t="shared" si="83"/>
        <v>0</v>
      </c>
      <c r="AI53" s="51" t="s">
        <v>2</v>
      </c>
      <c r="AJ53" s="19">
        <f t="shared" si="84"/>
        <v>0</v>
      </c>
      <c r="AK53" s="19">
        <f t="shared" si="85"/>
        <v>0</v>
      </c>
      <c r="AL53" s="19">
        <f t="shared" si="86"/>
        <v>0</v>
      </c>
      <c r="AN53" s="19">
        <v>21</v>
      </c>
      <c r="AO53" s="19">
        <f>H53*0</f>
        <v>0</v>
      </c>
      <c r="AP53" s="19">
        <f>H53*(1-0)</f>
        <v>0</v>
      </c>
      <c r="AQ53" s="3" t="s">
        <v>575</v>
      </c>
      <c r="AV53" s="19">
        <f t="shared" si="87"/>
        <v>0</v>
      </c>
      <c r="AW53" s="19">
        <f t="shared" si="88"/>
        <v>0</v>
      </c>
      <c r="AX53" s="19">
        <f t="shared" si="89"/>
        <v>0</v>
      </c>
      <c r="AY53" s="3" t="s">
        <v>261</v>
      </c>
      <c r="AZ53" s="3" t="s">
        <v>210</v>
      </c>
      <c r="BA53" s="51" t="s">
        <v>503</v>
      </c>
      <c r="BC53" s="19">
        <f t="shared" si="90"/>
        <v>0</v>
      </c>
      <c r="BD53" s="19">
        <f t="shared" si="91"/>
        <v>0</v>
      </c>
      <c r="BE53" s="19">
        <v>0</v>
      </c>
      <c r="BF53" s="19">
        <f t="shared" si="92"/>
        <v>0.51196</v>
      </c>
      <c r="BH53" s="19">
        <f t="shared" si="93"/>
        <v>0</v>
      </c>
      <c r="BI53" s="19">
        <f t="shared" si="94"/>
        <v>0</v>
      </c>
      <c r="BJ53" s="19">
        <f t="shared" si="95"/>
        <v>0</v>
      </c>
      <c r="BK53" s="19"/>
      <c r="BL53" s="19">
        <v>732</v>
      </c>
    </row>
    <row r="54" spans="1:64" ht="15" customHeight="1">
      <c r="A54" s="26" t="s">
        <v>477</v>
      </c>
      <c r="B54" s="21" t="s">
        <v>2</v>
      </c>
      <c r="C54" s="21" t="s">
        <v>560</v>
      </c>
      <c r="D54" s="64" t="s">
        <v>310</v>
      </c>
      <c r="E54" s="64"/>
      <c r="F54" s="21" t="s">
        <v>442</v>
      </c>
      <c r="G54" s="19">
        <v>1</v>
      </c>
      <c r="H54" s="19">
        <v>0</v>
      </c>
      <c r="I54" s="19">
        <f t="shared" si="72"/>
        <v>0</v>
      </c>
      <c r="J54" s="19">
        <f t="shared" si="73"/>
        <v>0</v>
      </c>
      <c r="K54" s="19">
        <f t="shared" si="74"/>
        <v>0</v>
      </c>
      <c r="L54" s="19">
        <v>0</v>
      </c>
      <c r="M54" s="19">
        <f t="shared" si="75"/>
        <v>0</v>
      </c>
      <c r="N54" s="41" t="s">
        <v>476</v>
      </c>
      <c r="Z54" s="19">
        <f t="shared" si="76"/>
        <v>0</v>
      </c>
      <c r="AB54" s="19">
        <f t="shared" si="77"/>
        <v>0</v>
      </c>
      <c r="AC54" s="19">
        <f t="shared" si="78"/>
        <v>0</v>
      </c>
      <c r="AD54" s="19">
        <f t="shared" si="79"/>
        <v>0</v>
      </c>
      <c r="AE54" s="19">
        <f t="shared" si="80"/>
        <v>0</v>
      </c>
      <c r="AF54" s="19">
        <f t="shared" si="81"/>
        <v>0</v>
      </c>
      <c r="AG54" s="19">
        <f t="shared" si="82"/>
        <v>0</v>
      </c>
      <c r="AH54" s="19">
        <f t="shared" si="83"/>
        <v>0</v>
      </c>
      <c r="AI54" s="51" t="s">
        <v>2</v>
      </c>
      <c r="AJ54" s="19">
        <f t="shared" si="84"/>
        <v>0</v>
      </c>
      <c r="AK54" s="19">
        <f t="shared" si="85"/>
        <v>0</v>
      </c>
      <c r="AL54" s="19">
        <f t="shared" si="86"/>
        <v>0</v>
      </c>
      <c r="AN54" s="19">
        <v>21</v>
      </c>
      <c r="AO54" s="19">
        <f>H54*0.812362030905077</f>
        <v>0</v>
      </c>
      <c r="AP54" s="19">
        <f>H54*(1-0.812362030905077)</f>
        <v>0</v>
      </c>
      <c r="AQ54" s="3" t="s">
        <v>575</v>
      </c>
      <c r="AV54" s="19">
        <f t="shared" si="87"/>
        <v>0</v>
      </c>
      <c r="AW54" s="19">
        <f t="shared" si="88"/>
        <v>0</v>
      </c>
      <c r="AX54" s="19">
        <f t="shared" si="89"/>
        <v>0</v>
      </c>
      <c r="AY54" s="3" t="s">
        <v>261</v>
      </c>
      <c r="AZ54" s="3" t="s">
        <v>210</v>
      </c>
      <c r="BA54" s="51" t="s">
        <v>503</v>
      </c>
      <c r="BC54" s="19">
        <f t="shared" si="90"/>
        <v>0</v>
      </c>
      <c r="BD54" s="19">
        <f t="shared" si="91"/>
        <v>0</v>
      </c>
      <c r="BE54" s="19">
        <v>0</v>
      </c>
      <c r="BF54" s="19">
        <f t="shared" si="92"/>
        <v>0</v>
      </c>
      <c r="BH54" s="19">
        <f t="shared" si="93"/>
        <v>0</v>
      </c>
      <c r="BI54" s="19">
        <f t="shared" si="94"/>
        <v>0</v>
      </c>
      <c r="BJ54" s="19">
        <f t="shared" si="95"/>
        <v>0</v>
      </c>
      <c r="BK54" s="19"/>
      <c r="BL54" s="19">
        <v>732</v>
      </c>
    </row>
    <row r="55" spans="1:64" ht="15" customHeight="1">
      <c r="A55" s="26" t="s">
        <v>122</v>
      </c>
      <c r="B55" s="21" t="s">
        <v>2</v>
      </c>
      <c r="C55" s="21" t="s">
        <v>464</v>
      </c>
      <c r="D55" s="64" t="s">
        <v>276</v>
      </c>
      <c r="E55" s="64"/>
      <c r="F55" s="21" t="s">
        <v>139</v>
      </c>
      <c r="G55" s="19">
        <v>1</v>
      </c>
      <c r="H55" s="19">
        <v>0</v>
      </c>
      <c r="I55" s="19">
        <f t="shared" si="72"/>
        <v>0</v>
      </c>
      <c r="J55" s="19">
        <f t="shared" si="73"/>
        <v>0</v>
      </c>
      <c r="K55" s="19">
        <f t="shared" si="74"/>
        <v>0</v>
      </c>
      <c r="L55" s="19">
        <v>0</v>
      </c>
      <c r="M55" s="19">
        <f t="shared" si="75"/>
        <v>0</v>
      </c>
      <c r="N55" s="41" t="s">
        <v>476</v>
      </c>
      <c r="Z55" s="19">
        <f t="shared" si="76"/>
        <v>0</v>
      </c>
      <c r="AB55" s="19">
        <f t="shared" si="77"/>
        <v>0</v>
      </c>
      <c r="AC55" s="19">
        <f t="shared" si="78"/>
        <v>0</v>
      </c>
      <c r="AD55" s="19">
        <f t="shared" si="79"/>
        <v>0</v>
      </c>
      <c r="AE55" s="19">
        <f t="shared" si="80"/>
        <v>0</v>
      </c>
      <c r="AF55" s="19">
        <f t="shared" si="81"/>
        <v>0</v>
      </c>
      <c r="AG55" s="19">
        <f t="shared" si="82"/>
        <v>0</v>
      </c>
      <c r="AH55" s="19">
        <f t="shared" si="83"/>
        <v>0</v>
      </c>
      <c r="AI55" s="51" t="s">
        <v>2</v>
      </c>
      <c r="AJ55" s="19">
        <f t="shared" si="84"/>
        <v>0</v>
      </c>
      <c r="AK55" s="19">
        <f t="shared" si="85"/>
        <v>0</v>
      </c>
      <c r="AL55" s="19">
        <f t="shared" si="86"/>
        <v>0</v>
      </c>
      <c r="AN55" s="19">
        <v>21</v>
      </c>
      <c r="AO55" s="19">
        <f>H55*0</f>
        <v>0</v>
      </c>
      <c r="AP55" s="19">
        <f>H55*(1-0)</f>
        <v>0</v>
      </c>
      <c r="AQ55" s="3" t="s">
        <v>575</v>
      </c>
      <c r="AV55" s="19">
        <f t="shared" si="87"/>
        <v>0</v>
      </c>
      <c r="AW55" s="19">
        <f t="shared" si="88"/>
        <v>0</v>
      </c>
      <c r="AX55" s="19">
        <f t="shared" si="89"/>
        <v>0</v>
      </c>
      <c r="AY55" s="3" t="s">
        <v>261</v>
      </c>
      <c r="AZ55" s="3" t="s">
        <v>210</v>
      </c>
      <c r="BA55" s="51" t="s">
        <v>503</v>
      </c>
      <c r="BC55" s="19">
        <f t="shared" si="90"/>
        <v>0</v>
      </c>
      <c r="BD55" s="19">
        <f t="shared" si="91"/>
        <v>0</v>
      </c>
      <c r="BE55" s="19">
        <v>0</v>
      </c>
      <c r="BF55" s="19">
        <f t="shared" si="92"/>
        <v>0</v>
      </c>
      <c r="BH55" s="19">
        <f t="shared" si="93"/>
        <v>0</v>
      </c>
      <c r="BI55" s="19">
        <f t="shared" si="94"/>
        <v>0</v>
      </c>
      <c r="BJ55" s="19">
        <f t="shared" si="95"/>
        <v>0</v>
      </c>
      <c r="BK55" s="19"/>
      <c r="BL55" s="19">
        <v>732</v>
      </c>
    </row>
    <row r="56" spans="1:47" ht="15" customHeight="1">
      <c r="A56" s="61" t="s">
        <v>392</v>
      </c>
      <c r="B56" s="36" t="s">
        <v>2</v>
      </c>
      <c r="C56" s="36" t="s">
        <v>591</v>
      </c>
      <c r="D56" s="68" t="s">
        <v>478</v>
      </c>
      <c r="E56" s="68"/>
      <c r="F56" s="1" t="s">
        <v>525</v>
      </c>
      <c r="G56" s="1" t="s">
        <v>525</v>
      </c>
      <c r="H56" s="1" t="s">
        <v>525</v>
      </c>
      <c r="I56" s="33">
        <f>SUM(I57:I62)</f>
        <v>0</v>
      </c>
      <c r="J56" s="33">
        <f>SUM(J57:J62)</f>
        <v>0</v>
      </c>
      <c r="K56" s="33">
        <f>SUM(K57:K62)</f>
        <v>0</v>
      </c>
      <c r="L56" s="51" t="s">
        <v>392</v>
      </c>
      <c r="M56" s="33">
        <f>SUM(M57:M62)</f>
        <v>0.3229000000000001</v>
      </c>
      <c r="N56" s="58" t="s">
        <v>392</v>
      </c>
      <c r="AI56" s="51" t="s">
        <v>2</v>
      </c>
      <c r="AS56" s="33">
        <f>SUM(AJ57:AJ62)</f>
        <v>0</v>
      </c>
      <c r="AT56" s="33">
        <f>SUM(AK57:AK62)</f>
        <v>0</v>
      </c>
      <c r="AU56" s="33">
        <f>SUM(AL57:AL62)</f>
        <v>0</v>
      </c>
    </row>
    <row r="57" spans="1:64" ht="15" customHeight="1">
      <c r="A57" s="26" t="s">
        <v>635</v>
      </c>
      <c r="B57" s="21" t="s">
        <v>2</v>
      </c>
      <c r="C57" s="21" t="s">
        <v>373</v>
      </c>
      <c r="D57" s="64" t="s">
        <v>545</v>
      </c>
      <c r="E57" s="64"/>
      <c r="F57" s="21" t="s">
        <v>471</v>
      </c>
      <c r="G57" s="19">
        <v>6</v>
      </c>
      <c r="H57" s="19">
        <v>0</v>
      </c>
      <c r="I57" s="19">
        <f aca="true" t="shared" si="96" ref="I57:I62">G57*AO57</f>
        <v>0</v>
      </c>
      <c r="J57" s="19">
        <f aca="true" t="shared" si="97" ref="J57:J62">G57*AP57</f>
        <v>0</v>
      </c>
      <c r="K57" s="19">
        <f aca="true" t="shared" si="98" ref="K57:K62">G57*H57</f>
        <v>0</v>
      </c>
      <c r="L57" s="19">
        <v>0.00704</v>
      </c>
      <c r="M57" s="19">
        <f aca="true" t="shared" si="99" ref="M57:M62">G57*L57</f>
        <v>0.04224</v>
      </c>
      <c r="N57" s="41" t="s">
        <v>476</v>
      </c>
      <c r="Z57" s="19">
        <f aca="true" t="shared" si="100" ref="Z57:Z62">IF(AQ57="5",BJ57,0)</f>
        <v>0</v>
      </c>
      <c r="AB57" s="19">
        <f aca="true" t="shared" si="101" ref="AB57:AB62">IF(AQ57="1",BH57,0)</f>
        <v>0</v>
      </c>
      <c r="AC57" s="19">
        <f aca="true" t="shared" si="102" ref="AC57:AC62">IF(AQ57="1",BI57,0)</f>
        <v>0</v>
      </c>
      <c r="AD57" s="19">
        <f aca="true" t="shared" si="103" ref="AD57:AD62">IF(AQ57="7",BH57,0)</f>
        <v>0</v>
      </c>
      <c r="AE57" s="19">
        <f aca="true" t="shared" si="104" ref="AE57:AE62">IF(AQ57="7",BI57,0)</f>
        <v>0</v>
      </c>
      <c r="AF57" s="19">
        <f aca="true" t="shared" si="105" ref="AF57:AF62">IF(AQ57="2",BH57,0)</f>
        <v>0</v>
      </c>
      <c r="AG57" s="19">
        <f aca="true" t="shared" si="106" ref="AG57:AG62">IF(AQ57="2",BI57,0)</f>
        <v>0</v>
      </c>
      <c r="AH57" s="19">
        <f aca="true" t="shared" si="107" ref="AH57:AH62">IF(AQ57="0",BJ57,0)</f>
        <v>0</v>
      </c>
      <c r="AI57" s="51" t="s">
        <v>2</v>
      </c>
      <c r="AJ57" s="19">
        <f aca="true" t="shared" si="108" ref="AJ57:AJ62">IF(AN57=0,K57,0)</f>
        <v>0</v>
      </c>
      <c r="AK57" s="19">
        <f aca="true" t="shared" si="109" ref="AK57:AK62">IF(AN57=15,K57,0)</f>
        <v>0</v>
      </c>
      <c r="AL57" s="19">
        <f aca="true" t="shared" si="110" ref="AL57:AL62">IF(AN57=21,K57,0)</f>
        <v>0</v>
      </c>
      <c r="AN57" s="19">
        <v>21</v>
      </c>
      <c r="AO57" s="19">
        <f>H57*0.554277716050273</f>
        <v>0</v>
      </c>
      <c r="AP57" s="19">
        <f>H57*(1-0.554277716050273)</f>
        <v>0</v>
      </c>
      <c r="AQ57" s="3" t="s">
        <v>575</v>
      </c>
      <c r="AV57" s="19">
        <f aca="true" t="shared" si="111" ref="AV57:AV62">AW57+AX57</f>
        <v>0</v>
      </c>
      <c r="AW57" s="19">
        <f aca="true" t="shared" si="112" ref="AW57:AW62">G57*AO57</f>
        <v>0</v>
      </c>
      <c r="AX57" s="19">
        <f aca="true" t="shared" si="113" ref="AX57:AX62">G57*AP57</f>
        <v>0</v>
      </c>
      <c r="AY57" s="3" t="s">
        <v>55</v>
      </c>
      <c r="AZ57" s="3" t="s">
        <v>210</v>
      </c>
      <c r="BA57" s="51" t="s">
        <v>503</v>
      </c>
      <c r="BC57" s="19">
        <f aca="true" t="shared" si="114" ref="BC57:BC62">AW57+AX57</f>
        <v>0</v>
      </c>
      <c r="BD57" s="19">
        <f aca="true" t="shared" si="115" ref="BD57:BD62">H57/(100-BE57)*100</f>
        <v>0</v>
      </c>
      <c r="BE57" s="19">
        <v>0</v>
      </c>
      <c r="BF57" s="19">
        <f aca="true" t="shared" si="116" ref="BF57:BF62">M57</f>
        <v>0.04224</v>
      </c>
      <c r="BH57" s="19">
        <f aca="true" t="shared" si="117" ref="BH57:BH62">G57*AO57</f>
        <v>0</v>
      </c>
      <c r="BI57" s="19">
        <f aca="true" t="shared" si="118" ref="BI57:BI62">G57*AP57</f>
        <v>0</v>
      </c>
      <c r="BJ57" s="19">
        <f aca="true" t="shared" si="119" ref="BJ57:BJ62">G57*H57</f>
        <v>0</v>
      </c>
      <c r="BK57" s="19"/>
      <c r="BL57" s="19">
        <v>733</v>
      </c>
    </row>
    <row r="58" spans="1:64" ht="15" customHeight="1">
      <c r="A58" s="26" t="s">
        <v>504</v>
      </c>
      <c r="B58" s="21" t="s">
        <v>2</v>
      </c>
      <c r="C58" s="21" t="s">
        <v>397</v>
      </c>
      <c r="D58" s="64" t="s">
        <v>77</v>
      </c>
      <c r="E58" s="64"/>
      <c r="F58" s="21" t="s">
        <v>471</v>
      </c>
      <c r="G58" s="19">
        <v>9</v>
      </c>
      <c r="H58" s="19">
        <v>0</v>
      </c>
      <c r="I58" s="19">
        <f t="shared" si="96"/>
        <v>0</v>
      </c>
      <c r="J58" s="19">
        <f t="shared" si="97"/>
        <v>0</v>
      </c>
      <c r="K58" s="19">
        <f t="shared" si="98"/>
        <v>0</v>
      </c>
      <c r="L58" s="19">
        <v>0.00785</v>
      </c>
      <c r="M58" s="19">
        <f t="shared" si="99"/>
        <v>0.07064999999999999</v>
      </c>
      <c r="N58" s="41" t="s">
        <v>476</v>
      </c>
      <c r="Z58" s="19">
        <f t="shared" si="100"/>
        <v>0</v>
      </c>
      <c r="AB58" s="19">
        <f t="shared" si="101"/>
        <v>0</v>
      </c>
      <c r="AC58" s="19">
        <f t="shared" si="102"/>
        <v>0</v>
      </c>
      <c r="AD58" s="19">
        <f t="shared" si="103"/>
        <v>0</v>
      </c>
      <c r="AE58" s="19">
        <f t="shared" si="104"/>
        <v>0</v>
      </c>
      <c r="AF58" s="19">
        <f t="shared" si="105"/>
        <v>0</v>
      </c>
      <c r="AG58" s="19">
        <f t="shared" si="106"/>
        <v>0</v>
      </c>
      <c r="AH58" s="19">
        <f t="shared" si="107"/>
        <v>0</v>
      </c>
      <c r="AI58" s="51" t="s">
        <v>2</v>
      </c>
      <c r="AJ58" s="19">
        <f t="shared" si="108"/>
        <v>0</v>
      </c>
      <c r="AK58" s="19">
        <f t="shared" si="109"/>
        <v>0</v>
      </c>
      <c r="AL58" s="19">
        <f t="shared" si="110"/>
        <v>0</v>
      </c>
      <c r="AN58" s="19">
        <v>21</v>
      </c>
      <c r="AO58" s="19">
        <f>H58*0.566150392817059</f>
        <v>0</v>
      </c>
      <c r="AP58" s="19">
        <f>H58*(1-0.566150392817059)</f>
        <v>0</v>
      </c>
      <c r="AQ58" s="3" t="s">
        <v>575</v>
      </c>
      <c r="AV58" s="19">
        <f t="shared" si="111"/>
        <v>0</v>
      </c>
      <c r="AW58" s="19">
        <f t="shared" si="112"/>
        <v>0</v>
      </c>
      <c r="AX58" s="19">
        <f t="shared" si="113"/>
        <v>0</v>
      </c>
      <c r="AY58" s="3" t="s">
        <v>55</v>
      </c>
      <c r="AZ58" s="3" t="s">
        <v>210</v>
      </c>
      <c r="BA58" s="51" t="s">
        <v>503</v>
      </c>
      <c r="BC58" s="19">
        <f t="shared" si="114"/>
        <v>0</v>
      </c>
      <c r="BD58" s="19">
        <f t="shared" si="115"/>
        <v>0</v>
      </c>
      <c r="BE58" s="19">
        <v>0</v>
      </c>
      <c r="BF58" s="19">
        <f t="shared" si="116"/>
        <v>0.07064999999999999</v>
      </c>
      <c r="BH58" s="19">
        <f t="shared" si="117"/>
        <v>0</v>
      </c>
      <c r="BI58" s="19">
        <f t="shared" si="118"/>
        <v>0</v>
      </c>
      <c r="BJ58" s="19">
        <f t="shared" si="119"/>
        <v>0</v>
      </c>
      <c r="BK58" s="19"/>
      <c r="BL58" s="19">
        <v>733</v>
      </c>
    </row>
    <row r="59" spans="1:64" ht="15" customHeight="1">
      <c r="A59" s="26" t="s">
        <v>334</v>
      </c>
      <c r="B59" s="21" t="s">
        <v>2</v>
      </c>
      <c r="C59" s="21" t="s">
        <v>60</v>
      </c>
      <c r="D59" s="64" t="s">
        <v>629</v>
      </c>
      <c r="E59" s="64"/>
      <c r="F59" s="21" t="s">
        <v>471</v>
      </c>
      <c r="G59" s="19">
        <v>4</v>
      </c>
      <c r="H59" s="19">
        <v>0</v>
      </c>
      <c r="I59" s="19">
        <f t="shared" si="96"/>
        <v>0</v>
      </c>
      <c r="J59" s="19">
        <f t="shared" si="97"/>
        <v>0</v>
      </c>
      <c r="K59" s="19">
        <f t="shared" si="98"/>
        <v>0</v>
      </c>
      <c r="L59" s="19">
        <v>0.00827</v>
      </c>
      <c r="M59" s="19">
        <f t="shared" si="99"/>
        <v>0.03308</v>
      </c>
      <c r="N59" s="41" t="s">
        <v>476</v>
      </c>
      <c r="Z59" s="19">
        <f t="shared" si="100"/>
        <v>0</v>
      </c>
      <c r="AB59" s="19">
        <f t="shared" si="101"/>
        <v>0</v>
      </c>
      <c r="AC59" s="19">
        <f t="shared" si="102"/>
        <v>0</v>
      </c>
      <c r="AD59" s="19">
        <f t="shared" si="103"/>
        <v>0</v>
      </c>
      <c r="AE59" s="19">
        <f t="shared" si="104"/>
        <v>0</v>
      </c>
      <c r="AF59" s="19">
        <f t="shared" si="105"/>
        <v>0</v>
      </c>
      <c r="AG59" s="19">
        <f t="shared" si="106"/>
        <v>0</v>
      </c>
      <c r="AH59" s="19">
        <f t="shared" si="107"/>
        <v>0</v>
      </c>
      <c r="AI59" s="51" t="s">
        <v>2</v>
      </c>
      <c r="AJ59" s="19">
        <f t="shared" si="108"/>
        <v>0</v>
      </c>
      <c r="AK59" s="19">
        <f t="shared" si="109"/>
        <v>0</v>
      </c>
      <c r="AL59" s="19">
        <f t="shared" si="110"/>
        <v>0</v>
      </c>
      <c r="AN59" s="19">
        <v>21</v>
      </c>
      <c r="AO59" s="19">
        <f>H59*0.592222222222222</f>
        <v>0</v>
      </c>
      <c r="AP59" s="19">
        <f>H59*(1-0.592222222222222)</f>
        <v>0</v>
      </c>
      <c r="AQ59" s="3" t="s">
        <v>575</v>
      </c>
      <c r="AV59" s="19">
        <f t="shared" si="111"/>
        <v>0</v>
      </c>
      <c r="AW59" s="19">
        <f t="shared" si="112"/>
        <v>0</v>
      </c>
      <c r="AX59" s="19">
        <f t="shared" si="113"/>
        <v>0</v>
      </c>
      <c r="AY59" s="3" t="s">
        <v>55</v>
      </c>
      <c r="AZ59" s="3" t="s">
        <v>210</v>
      </c>
      <c r="BA59" s="51" t="s">
        <v>503</v>
      </c>
      <c r="BC59" s="19">
        <f t="shared" si="114"/>
        <v>0</v>
      </c>
      <c r="BD59" s="19">
        <f t="shared" si="115"/>
        <v>0</v>
      </c>
      <c r="BE59" s="19">
        <v>0</v>
      </c>
      <c r="BF59" s="19">
        <f t="shared" si="116"/>
        <v>0.03308</v>
      </c>
      <c r="BH59" s="19">
        <f t="shared" si="117"/>
        <v>0</v>
      </c>
      <c r="BI59" s="19">
        <f t="shared" si="118"/>
        <v>0</v>
      </c>
      <c r="BJ59" s="19">
        <f t="shared" si="119"/>
        <v>0</v>
      </c>
      <c r="BK59" s="19"/>
      <c r="BL59" s="19">
        <v>733</v>
      </c>
    </row>
    <row r="60" spans="1:64" ht="15" customHeight="1">
      <c r="A60" s="26" t="s">
        <v>561</v>
      </c>
      <c r="B60" s="21" t="s">
        <v>2</v>
      </c>
      <c r="C60" s="21" t="s">
        <v>402</v>
      </c>
      <c r="D60" s="64" t="s">
        <v>23</v>
      </c>
      <c r="E60" s="64"/>
      <c r="F60" s="21" t="s">
        <v>471</v>
      </c>
      <c r="G60" s="19">
        <v>4</v>
      </c>
      <c r="H60" s="19">
        <v>0</v>
      </c>
      <c r="I60" s="19">
        <f t="shared" si="96"/>
        <v>0</v>
      </c>
      <c r="J60" s="19">
        <f t="shared" si="97"/>
        <v>0</v>
      </c>
      <c r="K60" s="19">
        <f t="shared" si="98"/>
        <v>0</v>
      </c>
      <c r="L60" s="19">
        <v>0.01012</v>
      </c>
      <c r="M60" s="19">
        <f t="shared" si="99"/>
        <v>0.04048</v>
      </c>
      <c r="N60" s="41" t="s">
        <v>476</v>
      </c>
      <c r="Z60" s="19">
        <f t="shared" si="100"/>
        <v>0</v>
      </c>
      <c r="AB60" s="19">
        <f t="shared" si="101"/>
        <v>0</v>
      </c>
      <c r="AC60" s="19">
        <f t="shared" si="102"/>
        <v>0</v>
      </c>
      <c r="AD60" s="19">
        <f t="shared" si="103"/>
        <v>0</v>
      </c>
      <c r="AE60" s="19">
        <f t="shared" si="104"/>
        <v>0</v>
      </c>
      <c r="AF60" s="19">
        <f t="shared" si="105"/>
        <v>0</v>
      </c>
      <c r="AG60" s="19">
        <f t="shared" si="106"/>
        <v>0</v>
      </c>
      <c r="AH60" s="19">
        <f t="shared" si="107"/>
        <v>0</v>
      </c>
      <c r="AI60" s="51" t="s">
        <v>2</v>
      </c>
      <c r="AJ60" s="19">
        <f t="shared" si="108"/>
        <v>0</v>
      </c>
      <c r="AK60" s="19">
        <f t="shared" si="109"/>
        <v>0</v>
      </c>
      <c r="AL60" s="19">
        <f t="shared" si="110"/>
        <v>0</v>
      </c>
      <c r="AN60" s="19">
        <v>21</v>
      </c>
      <c r="AO60" s="19">
        <f>H60*0.646293169608596</f>
        <v>0</v>
      </c>
      <c r="AP60" s="19">
        <f>H60*(1-0.646293169608596)</f>
        <v>0</v>
      </c>
      <c r="AQ60" s="3" t="s">
        <v>575</v>
      </c>
      <c r="AV60" s="19">
        <f t="shared" si="111"/>
        <v>0</v>
      </c>
      <c r="AW60" s="19">
        <f t="shared" si="112"/>
        <v>0</v>
      </c>
      <c r="AX60" s="19">
        <f t="shared" si="113"/>
        <v>0</v>
      </c>
      <c r="AY60" s="3" t="s">
        <v>55</v>
      </c>
      <c r="AZ60" s="3" t="s">
        <v>210</v>
      </c>
      <c r="BA60" s="51" t="s">
        <v>503</v>
      </c>
      <c r="BC60" s="19">
        <f t="shared" si="114"/>
        <v>0</v>
      </c>
      <c r="BD60" s="19">
        <f t="shared" si="115"/>
        <v>0</v>
      </c>
      <c r="BE60" s="19">
        <v>0</v>
      </c>
      <c r="BF60" s="19">
        <f t="shared" si="116"/>
        <v>0.04048</v>
      </c>
      <c r="BH60" s="19">
        <f t="shared" si="117"/>
        <v>0</v>
      </c>
      <c r="BI60" s="19">
        <f t="shared" si="118"/>
        <v>0</v>
      </c>
      <c r="BJ60" s="19">
        <f t="shared" si="119"/>
        <v>0</v>
      </c>
      <c r="BK60" s="19"/>
      <c r="BL60" s="19">
        <v>733</v>
      </c>
    </row>
    <row r="61" spans="1:64" ht="15" customHeight="1">
      <c r="A61" s="26" t="s">
        <v>346</v>
      </c>
      <c r="B61" s="21" t="s">
        <v>2</v>
      </c>
      <c r="C61" s="21" t="s">
        <v>112</v>
      </c>
      <c r="D61" s="64" t="s">
        <v>621</v>
      </c>
      <c r="E61" s="64"/>
      <c r="F61" s="21" t="s">
        <v>471</v>
      </c>
      <c r="G61" s="19">
        <v>12</v>
      </c>
      <c r="H61" s="19">
        <v>0</v>
      </c>
      <c r="I61" s="19">
        <f t="shared" si="96"/>
        <v>0</v>
      </c>
      <c r="J61" s="19">
        <f t="shared" si="97"/>
        <v>0</v>
      </c>
      <c r="K61" s="19">
        <f t="shared" si="98"/>
        <v>0</v>
      </c>
      <c r="L61" s="19">
        <v>0.00956</v>
      </c>
      <c r="M61" s="19">
        <f t="shared" si="99"/>
        <v>0.11472000000000002</v>
      </c>
      <c r="N61" s="41" t="s">
        <v>476</v>
      </c>
      <c r="Z61" s="19">
        <f t="shared" si="100"/>
        <v>0</v>
      </c>
      <c r="AB61" s="19">
        <f t="shared" si="101"/>
        <v>0</v>
      </c>
      <c r="AC61" s="19">
        <f t="shared" si="102"/>
        <v>0</v>
      </c>
      <c r="AD61" s="19">
        <f t="shared" si="103"/>
        <v>0</v>
      </c>
      <c r="AE61" s="19">
        <f t="shared" si="104"/>
        <v>0</v>
      </c>
      <c r="AF61" s="19">
        <f t="shared" si="105"/>
        <v>0</v>
      </c>
      <c r="AG61" s="19">
        <f t="shared" si="106"/>
        <v>0</v>
      </c>
      <c r="AH61" s="19">
        <f t="shared" si="107"/>
        <v>0</v>
      </c>
      <c r="AI61" s="51" t="s">
        <v>2</v>
      </c>
      <c r="AJ61" s="19">
        <f t="shared" si="108"/>
        <v>0</v>
      </c>
      <c r="AK61" s="19">
        <f t="shared" si="109"/>
        <v>0</v>
      </c>
      <c r="AL61" s="19">
        <f t="shared" si="110"/>
        <v>0</v>
      </c>
      <c r="AN61" s="19">
        <v>21</v>
      </c>
      <c r="AO61" s="19">
        <f>H61*0.587852233676976</f>
        <v>0</v>
      </c>
      <c r="AP61" s="19">
        <f>H61*(1-0.587852233676976)</f>
        <v>0</v>
      </c>
      <c r="AQ61" s="3" t="s">
        <v>575</v>
      </c>
      <c r="AV61" s="19">
        <f t="shared" si="111"/>
        <v>0</v>
      </c>
      <c r="AW61" s="19">
        <f t="shared" si="112"/>
        <v>0</v>
      </c>
      <c r="AX61" s="19">
        <f t="shared" si="113"/>
        <v>0</v>
      </c>
      <c r="AY61" s="3" t="s">
        <v>55</v>
      </c>
      <c r="AZ61" s="3" t="s">
        <v>210</v>
      </c>
      <c r="BA61" s="51" t="s">
        <v>503</v>
      </c>
      <c r="BC61" s="19">
        <f t="shared" si="114"/>
        <v>0</v>
      </c>
      <c r="BD61" s="19">
        <f t="shared" si="115"/>
        <v>0</v>
      </c>
      <c r="BE61" s="19">
        <v>0</v>
      </c>
      <c r="BF61" s="19">
        <f t="shared" si="116"/>
        <v>0.11472000000000002</v>
      </c>
      <c r="BH61" s="19">
        <f t="shared" si="117"/>
        <v>0</v>
      </c>
      <c r="BI61" s="19">
        <f t="shared" si="118"/>
        <v>0</v>
      </c>
      <c r="BJ61" s="19">
        <f t="shared" si="119"/>
        <v>0</v>
      </c>
      <c r="BK61" s="19"/>
      <c r="BL61" s="19">
        <v>733</v>
      </c>
    </row>
    <row r="62" spans="1:64" ht="15" customHeight="1">
      <c r="A62" s="26" t="s">
        <v>363</v>
      </c>
      <c r="B62" s="21" t="s">
        <v>2</v>
      </c>
      <c r="C62" s="21" t="s">
        <v>514</v>
      </c>
      <c r="D62" s="64" t="s">
        <v>271</v>
      </c>
      <c r="E62" s="64"/>
      <c r="F62" s="21" t="s">
        <v>471</v>
      </c>
      <c r="G62" s="19">
        <v>1</v>
      </c>
      <c r="H62" s="19">
        <v>0</v>
      </c>
      <c r="I62" s="19">
        <f t="shared" si="96"/>
        <v>0</v>
      </c>
      <c r="J62" s="19">
        <f t="shared" si="97"/>
        <v>0</v>
      </c>
      <c r="K62" s="19">
        <f t="shared" si="98"/>
        <v>0</v>
      </c>
      <c r="L62" s="19">
        <v>0.02173</v>
      </c>
      <c r="M62" s="19">
        <f t="shared" si="99"/>
        <v>0.02173</v>
      </c>
      <c r="N62" s="41" t="s">
        <v>476</v>
      </c>
      <c r="Z62" s="19">
        <f t="shared" si="100"/>
        <v>0</v>
      </c>
      <c r="AB62" s="19">
        <f t="shared" si="101"/>
        <v>0</v>
      </c>
      <c r="AC62" s="19">
        <f t="shared" si="102"/>
        <v>0</v>
      </c>
      <c r="AD62" s="19">
        <f t="shared" si="103"/>
        <v>0</v>
      </c>
      <c r="AE62" s="19">
        <f t="shared" si="104"/>
        <v>0</v>
      </c>
      <c r="AF62" s="19">
        <f t="shared" si="105"/>
        <v>0</v>
      </c>
      <c r="AG62" s="19">
        <f t="shared" si="106"/>
        <v>0</v>
      </c>
      <c r="AH62" s="19">
        <f t="shared" si="107"/>
        <v>0</v>
      </c>
      <c r="AI62" s="51" t="s">
        <v>2</v>
      </c>
      <c r="AJ62" s="19">
        <f t="shared" si="108"/>
        <v>0</v>
      </c>
      <c r="AK62" s="19">
        <f t="shared" si="109"/>
        <v>0</v>
      </c>
      <c r="AL62" s="19">
        <f t="shared" si="110"/>
        <v>0</v>
      </c>
      <c r="AN62" s="19">
        <v>21</v>
      </c>
      <c r="AO62" s="19">
        <f>H62*0.765494768310912</f>
        <v>0</v>
      </c>
      <c r="AP62" s="19">
        <f>H62*(1-0.765494768310912)</f>
        <v>0</v>
      </c>
      <c r="AQ62" s="3" t="s">
        <v>575</v>
      </c>
      <c r="AV62" s="19">
        <f t="shared" si="111"/>
        <v>0</v>
      </c>
      <c r="AW62" s="19">
        <f t="shared" si="112"/>
        <v>0</v>
      </c>
      <c r="AX62" s="19">
        <f t="shared" si="113"/>
        <v>0</v>
      </c>
      <c r="AY62" s="3" t="s">
        <v>55</v>
      </c>
      <c r="AZ62" s="3" t="s">
        <v>210</v>
      </c>
      <c r="BA62" s="51" t="s">
        <v>503</v>
      </c>
      <c r="BC62" s="19">
        <f t="shared" si="114"/>
        <v>0</v>
      </c>
      <c r="BD62" s="19">
        <f t="shared" si="115"/>
        <v>0</v>
      </c>
      <c r="BE62" s="19">
        <v>0</v>
      </c>
      <c r="BF62" s="19">
        <f t="shared" si="116"/>
        <v>0.02173</v>
      </c>
      <c r="BH62" s="19">
        <f t="shared" si="117"/>
        <v>0</v>
      </c>
      <c r="BI62" s="19">
        <f t="shared" si="118"/>
        <v>0</v>
      </c>
      <c r="BJ62" s="19">
        <f t="shared" si="119"/>
        <v>0</v>
      </c>
      <c r="BK62" s="19"/>
      <c r="BL62" s="19">
        <v>733</v>
      </c>
    </row>
    <row r="63" spans="1:47" ht="15" customHeight="1">
      <c r="A63" s="61" t="s">
        <v>392</v>
      </c>
      <c r="B63" s="36" t="s">
        <v>2</v>
      </c>
      <c r="C63" s="36" t="s">
        <v>484</v>
      </c>
      <c r="D63" s="68" t="s">
        <v>372</v>
      </c>
      <c r="E63" s="68"/>
      <c r="F63" s="1" t="s">
        <v>525</v>
      </c>
      <c r="G63" s="1" t="s">
        <v>525</v>
      </c>
      <c r="H63" s="1" t="s">
        <v>525</v>
      </c>
      <c r="I63" s="33">
        <f>SUM(I64:I106)</f>
        <v>0</v>
      </c>
      <c r="J63" s="33">
        <f>SUM(J64:J106)</f>
        <v>0</v>
      </c>
      <c r="K63" s="33">
        <f>SUM(K64:K106)</f>
        <v>0</v>
      </c>
      <c r="L63" s="51" t="s">
        <v>392</v>
      </c>
      <c r="M63" s="33">
        <f>SUM(M64:M106)</f>
        <v>0.25775000000000003</v>
      </c>
      <c r="N63" s="58" t="s">
        <v>392</v>
      </c>
      <c r="AI63" s="51" t="s">
        <v>2</v>
      </c>
      <c r="AS63" s="33">
        <f>SUM(AJ64:AJ106)</f>
        <v>0</v>
      </c>
      <c r="AT63" s="33">
        <f>SUM(AK64:AK106)</f>
        <v>0</v>
      </c>
      <c r="AU63" s="33">
        <f>SUM(AL64:AL106)</f>
        <v>0</v>
      </c>
    </row>
    <row r="64" spans="1:64" ht="15" customHeight="1">
      <c r="A64" s="26" t="s">
        <v>203</v>
      </c>
      <c r="B64" s="21" t="s">
        <v>2</v>
      </c>
      <c r="C64" s="21" t="s">
        <v>384</v>
      </c>
      <c r="D64" s="64" t="s">
        <v>40</v>
      </c>
      <c r="E64" s="64"/>
      <c r="F64" s="21" t="s">
        <v>139</v>
      </c>
      <c r="G64" s="19">
        <v>12</v>
      </c>
      <c r="H64" s="19">
        <v>0</v>
      </c>
      <c r="I64" s="19">
        <f aca="true" t="shared" si="120" ref="I64:I106">G64*AO64</f>
        <v>0</v>
      </c>
      <c r="J64" s="19">
        <f aca="true" t="shared" si="121" ref="J64:J106">G64*AP64</f>
        <v>0</v>
      </c>
      <c r="K64" s="19">
        <f aca="true" t="shared" si="122" ref="K64:K106">G64*H64</f>
        <v>0</v>
      </c>
      <c r="L64" s="19">
        <v>0.00042</v>
      </c>
      <c r="M64" s="19">
        <f aca="true" t="shared" si="123" ref="M64:M106">G64*L64</f>
        <v>0.00504</v>
      </c>
      <c r="N64" s="41" t="s">
        <v>476</v>
      </c>
      <c r="Z64" s="19">
        <f aca="true" t="shared" si="124" ref="Z64:Z106">IF(AQ64="5",BJ64,0)</f>
        <v>0</v>
      </c>
      <c r="AB64" s="19">
        <f aca="true" t="shared" si="125" ref="AB64:AB106">IF(AQ64="1",BH64,0)</f>
        <v>0</v>
      </c>
      <c r="AC64" s="19">
        <f aca="true" t="shared" si="126" ref="AC64:AC106">IF(AQ64="1",BI64,0)</f>
        <v>0</v>
      </c>
      <c r="AD64" s="19">
        <f aca="true" t="shared" si="127" ref="AD64:AD106">IF(AQ64="7",BH64,0)</f>
        <v>0</v>
      </c>
      <c r="AE64" s="19">
        <f aca="true" t="shared" si="128" ref="AE64:AE106">IF(AQ64="7",BI64,0)</f>
        <v>0</v>
      </c>
      <c r="AF64" s="19">
        <f aca="true" t="shared" si="129" ref="AF64:AF106">IF(AQ64="2",BH64,0)</f>
        <v>0</v>
      </c>
      <c r="AG64" s="19">
        <f aca="true" t="shared" si="130" ref="AG64:AG106">IF(AQ64="2",BI64,0)</f>
        <v>0</v>
      </c>
      <c r="AH64" s="19">
        <f aca="true" t="shared" si="131" ref="AH64:AH106">IF(AQ64="0",BJ64,0)</f>
        <v>0</v>
      </c>
      <c r="AI64" s="51" t="s">
        <v>2</v>
      </c>
      <c r="AJ64" s="19">
        <f aca="true" t="shared" si="132" ref="AJ64:AJ106">IF(AN64=0,K64,0)</f>
        <v>0</v>
      </c>
      <c r="AK64" s="19">
        <f aca="true" t="shared" si="133" ref="AK64:AK106">IF(AN64=15,K64,0)</f>
        <v>0</v>
      </c>
      <c r="AL64" s="19">
        <f aca="true" t="shared" si="134" ref="AL64:AL106">IF(AN64=21,K64,0)</f>
        <v>0</v>
      </c>
      <c r="AN64" s="19">
        <v>21</v>
      </c>
      <c r="AO64" s="19">
        <f>H64*0.320180885959046</f>
        <v>0</v>
      </c>
      <c r="AP64" s="19">
        <f>H64*(1-0.320180885959046)</f>
        <v>0</v>
      </c>
      <c r="AQ64" s="3" t="s">
        <v>575</v>
      </c>
      <c r="AV64" s="19">
        <f aca="true" t="shared" si="135" ref="AV64:AV106">AW64+AX64</f>
        <v>0</v>
      </c>
      <c r="AW64" s="19">
        <f aca="true" t="shared" si="136" ref="AW64:AW106">G64*AO64</f>
        <v>0</v>
      </c>
      <c r="AX64" s="19">
        <f aca="true" t="shared" si="137" ref="AX64:AX106">G64*AP64</f>
        <v>0</v>
      </c>
      <c r="AY64" s="3" t="s">
        <v>109</v>
      </c>
      <c r="AZ64" s="3" t="s">
        <v>210</v>
      </c>
      <c r="BA64" s="51" t="s">
        <v>503</v>
      </c>
      <c r="BC64" s="19">
        <f aca="true" t="shared" si="138" ref="BC64:BC106">AW64+AX64</f>
        <v>0</v>
      </c>
      <c r="BD64" s="19">
        <f aca="true" t="shared" si="139" ref="BD64:BD106">H64/(100-BE64)*100</f>
        <v>0</v>
      </c>
      <c r="BE64" s="19">
        <v>0</v>
      </c>
      <c r="BF64" s="19">
        <f aca="true" t="shared" si="140" ref="BF64:BF106">M64</f>
        <v>0.00504</v>
      </c>
      <c r="BH64" s="19">
        <f aca="true" t="shared" si="141" ref="BH64:BH106">G64*AO64</f>
        <v>0</v>
      </c>
      <c r="BI64" s="19">
        <f aca="true" t="shared" si="142" ref="BI64:BI106">G64*AP64</f>
        <v>0</v>
      </c>
      <c r="BJ64" s="19">
        <f aca="true" t="shared" si="143" ref="BJ64:BJ106">G64*H64</f>
        <v>0</v>
      </c>
      <c r="BK64" s="19"/>
      <c r="BL64" s="19">
        <v>734</v>
      </c>
    </row>
    <row r="65" spans="1:64" ht="15" customHeight="1">
      <c r="A65" s="26" t="s">
        <v>565</v>
      </c>
      <c r="B65" s="21" t="s">
        <v>2</v>
      </c>
      <c r="C65" s="21" t="s">
        <v>384</v>
      </c>
      <c r="D65" s="64" t="s">
        <v>280</v>
      </c>
      <c r="E65" s="64"/>
      <c r="F65" s="21" t="s">
        <v>139</v>
      </c>
      <c r="G65" s="19">
        <v>9</v>
      </c>
      <c r="H65" s="19">
        <v>0</v>
      </c>
      <c r="I65" s="19">
        <f t="shared" si="120"/>
        <v>0</v>
      </c>
      <c r="J65" s="19">
        <f t="shared" si="121"/>
        <v>0</v>
      </c>
      <c r="K65" s="19">
        <f t="shared" si="122"/>
        <v>0</v>
      </c>
      <c r="L65" s="19">
        <v>0.00042</v>
      </c>
      <c r="M65" s="19">
        <f t="shared" si="123"/>
        <v>0.0037800000000000004</v>
      </c>
      <c r="N65" s="41" t="s">
        <v>476</v>
      </c>
      <c r="Z65" s="19">
        <f t="shared" si="124"/>
        <v>0</v>
      </c>
      <c r="AB65" s="19">
        <f t="shared" si="125"/>
        <v>0</v>
      </c>
      <c r="AC65" s="19">
        <f t="shared" si="126"/>
        <v>0</v>
      </c>
      <c r="AD65" s="19">
        <f t="shared" si="127"/>
        <v>0</v>
      </c>
      <c r="AE65" s="19">
        <f t="shared" si="128"/>
        <v>0</v>
      </c>
      <c r="AF65" s="19">
        <f t="shared" si="129"/>
        <v>0</v>
      </c>
      <c r="AG65" s="19">
        <f t="shared" si="130"/>
        <v>0</v>
      </c>
      <c r="AH65" s="19">
        <f t="shared" si="131"/>
        <v>0</v>
      </c>
      <c r="AI65" s="51" t="s">
        <v>2</v>
      </c>
      <c r="AJ65" s="19">
        <f t="shared" si="132"/>
        <v>0</v>
      </c>
      <c r="AK65" s="19">
        <f t="shared" si="133"/>
        <v>0</v>
      </c>
      <c r="AL65" s="19">
        <f t="shared" si="134"/>
        <v>0</v>
      </c>
      <c r="AN65" s="19">
        <v>21</v>
      </c>
      <c r="AO65" s="19">
        <f>H65*0.320180885959046</f>
        <v>0</v>
      </c>
      <c r="AP65" s="19">
        <f>H65*(1-0.320180885959046)</f>
        <v>0</v>
      </c>
      <c r="AQ65" s="3" t="s">
        <v>575</v>
      </c>
      <c r="AV65" s="19">
        <f t="shared" si="135"/>
        <v>0</v>
      </c>
      <c r="AW65" s="19">
        <f t="shared" si="136"/>
        <v>0</v>
      </c>
      <c r="AX65" s="19">
        <f t="shared" si="137"/>
        <v>0</v>
      </c>
      <c r="AY65" s="3" t="s">
        <v>109</v>
      </c>
      <c r="AZ65" s="3" t="s">
        <v>210</v>
      </c>
      <c r="BA65" s="51" t="s">
        <v>503</v>
      </c>
      <c r="BC65" s="19">
        <f t="shared" si="138"/>
        <v>0</v>
      </c>
      <c r="BD65" s="19">
        <f t="shared" si="139"/>
        <v>0</v>
      </c>
      <c r="BE65" s="19">
        <v>0</v>
      </c>
      <c r="BF65" s="19">
        <f t="shared" si="140"/>
        <v>0.0037800000000000004</v>
      </c>
      <c r="BH65" s="19">
        <f t="shared" si="141"/>
        <v>0</v>
      </c>
      <c r="BI65" s="19">
        <f t="shared" si="142"/>
        <v>0</v>
      </c>
      <c r="BJ65" s="19">
        <f t="shared" si="143"/>
        <v>0</v>
      </c>
      <c r="BK65" s="19"/>
      <c r="BL65" s="19">
        <v>734</v>
      </c>
    </row>
    <row r="66" spans="1:64" ht="15" customHeight="1">
      <c r="A66" s="26" t="s">
        <v>105</v>
      </c>
      <c r="B66" s="21" t="s">
        <v>2</v>
      </c>
      <c r="C66" s="21" t="s">
        <v>115</v>
      </c>
      <c r="D66" s="64" t="s">
        <v>154</v>
      </c>
      <c r="E66" s="64"/>
      <c r="F66" s="21" t="s">
        <v>139</v>
      </c>
      <c r="G66" s="19">
        <v>2</v>
      </c>
      <c r="H66" s="19">
        <v>0</v>
      </c>
      <c r="I66" s="19">
        <f t="shared" si="120"/>
        <v>0</v>
      </c>
      <c r="J66" s="19">
        <f t="shared" si="121"/>
        <v>0</v>
      </c>
      <c r="K66" s="19">
        <f t="shared" si="122"/>
        <v>0</v>
      </c>
      <c r="L66" s="19">
        <v>0</v>
      </c>
      <c r="M66" s="19">
        <f t="shared" si="123"/>
        <v>0</v>
      </c>
      <c r="N66" s="41" t="s">
        <v>476</v>
      </c>
      <c r="Z66" s="19">
        <f t="shared" si="124"/>
        <v>0</v>
      </c>
      <c r="AB66" s="19">
        <f t="shared" si="125"/>
        <v>0</v>
      </c>
      <c r="AC66" s="19">
        <f t="shared" si="126"/>
        <v>0</v>
      </c>
      <c r="AD66" s="19">
        <f t="shared" si="127"/>
        <v>0</v>
      </c>
      <c r="AE66" s="19">
        <f t="shared" si="128"/>
        <v>0</v>
      </c>
      <c r="AF66" s="19">
        <f t="shared" si="129"/>
        <v>0</v>
      </c>
      <c r="AG66" s="19">
        <f t="shared" si="130"/>
        <v>0</v>
      </c>
      <c r="AH66" s="19">
        <f t="shared" si="131"/>
        <v>0</v>
      </c>
      <c r="AI66" s="51" t="s">
        <v>2</v>
      </c>
      <c r="AJ66" s="19">
        <f t="shared" si="132"/>
        <v>0</v>
      </c>
      <c r="AK66" s="19">
        <f t="shared" si="133"/>
        <v>0</v>
      </c>
      <c r="AL66" s="19">
        <f t="shared" si="134"/>
        <v>0</v>
      </c>
      <c r="AN66" s="19">
        <v>21</v>
      </c>
      <c r="AO66" s="19">
        <f>H66*0.0711472031998061</f>
        <v>0</v>
      </c>
      <c r="AP66" s="19">
        <f>H66*(1-0.0711472031998061)</f>
        <v>0</v>
      </c>
      <c r="AQ66" s="3" t="s">
        <v>575</v>
      </c>
      <c r="AV66" s="19">
        <f t="shared" si="135"/>
        <v>0</v>
      </c>
      <c r="AW66" s="19">
        <f t="shared" si="136"/>
        <v>0</v>
      </c>
      <c r="AX66" s="19">
        <f t="shared" si="137"/>
        <v>0</v>
      </c>
      <c r="AY66" s="3" t="s">
        <v>109</v>
      </c>
      <c r="AZ66" s="3" t="s">
        <v>210</v>
      </c>
      <c r="BA66" s="51" t="s">
        <v>503</v>
      </c>
      <c r="BC66" s="19">
        <f t="shared" si="138"/>
        <v>0</v>
      </c>
      <c r="BD66" s="19">
        <f t="shared" si="139"/>
        <v>0</v>
      </c>
      <c r="BE66" s="19">
        <v>0</v>
      </c>
      <c r="BF66" s="19">
        <f t="shared" si="140"/>
        <v>0</v>
      </c>
      <c r="BH66" s="19">
        <f t="shared" si="141"/>
        <v>0</v>
      </c>
      <c r="BI66" s="19">
        <f t="shared" si="142"/>
        <v>0</v>
      </c>
      <c r="BJ66" s="19">
        <f t="shared" si="143"/>
        <v>0</v>
      </c>
      <c r="BK66" s="19"/>
      <c r="BL66" s="19">
        <v>734</v>
      </c>
    </row>
    <row r="67" spans="1:64" ht="15" customHeight="1">
      <c r="A67" s="26" t="s">
        <v>192</v>
      </c>
      <c r="B67" s="21" t="s">
        <v>2</v>
      </c>
      <c r="C67" s="21" t="s">
        <v>13</v>
      </c>
      <c r="D67" s="64" t="s">
        <v>529</v>
      </c>
      <c r="E67" s="64"/>
      <c r="F67" s="21" t="s">
        <v>139</v>
      </c>
      <c r="G67" s="19">
        <v>1</v>
      </c>
      <c r="H67" s="19">
        <v>0</v>
      </c>
      <c r="I67" s="19">
        <f t="shared" si="120"/>
        <v>0</v>
      </c>
      <c r="J67" s="19">
        <f t="shared" si="121"/>
        <v>0</v>
      </c>
      <c r="K67" s="19">
        <f t="shared" si="122"/>
        <v>0</v>
      </c>
      <c r="L67" s="19">
        <v>0</v>
      </c>
      <c r="M67" s="19">
        <f t="shared" si="123"/>
        <v>0</v>
      </c>
      <c r="N67" s="41" t="s">
        <v>476</v>
      </c>
      <c r="Z67" s="19">
        <f t="shared" si="124"/>
        <v>0</v>
      </c>
      <c r="AB67" s="19">
        <f t="shared" si="125"/>
        <v>0</v>
      </c>
      <c r="AC67" s="19">
        <f t="shared" si="126"/>
        <v>0</v>
      </c>
      <c r="AD67" s="19">
        <f t="shared" si="127"/>
        <v>0</v>
      </c>
      <c r="AE67" s="19">
        <f t="shared" si="128"/>
        <v>0</v>
      </c>
      <c r="AF67" s="19">
        <f t="shared" si="129"/>
        <v>0</v>
      </c>
      <c r="AG67" s="19">
        <f t="shared" si="130"/>
        <v>0</v>
      </c>
      <c r="AH67" s="19">
        <f t="shared" si="131"/>
        <v>0</v>
      </c>
      <c r="AI67" s="51" t="s">
        <v>2</v>
      </c>
      <c r="AJ67" s="19">
        <f t="shared" si="132"/>
        <v>0</v>
      </c>
      <c r="AK67" s="19">
        <f t="shared" si="133"/>
        <v>0</v>
      </c>
      <c r="AL67" s="19">
        <f t="shared" si="134"/>
        <v>0</v>
      </c>
      <c r="AN67" s="19">
        <v>21</v>
      </c>
      <c r="AO67" s="19">
        <f>H67*0.0796478192274416</f>
        <v>0</v>
      </c>
      <c r="AP67" s="19">
        <f>H67*(1-0.0796478192274416)</f>
        <v>0</v>
      </c>
      <c r="AQ67" s="3" t="s">
        <v>575</v>
      </c>
      <c r="AV67" s="19">
        <f t="shared" si="135"/>
        <v>0</v>
      </c>
      <c r="AW67" s="19">
        <f t="shared" si="136"/>
        <v>0</v>
      </c>
      <c r="AX67" s="19">
        <f t="shared" si="137"/>
        <v>0</v>
      </c>
      <c r="AY67" s="3" t="s">
        <v>109</v>
      </c>
      <c r="AZ67" s="3" t="s">
        <v>210</v>
      </c>
      <c r="BA67" s="51" t="s">
        <v>503</v>
      </c>
      <c r="BC67" s="19">
        <f t="shared" si="138"/>
        <v>0</v>
      </c>
      <c r="BD67" s="19">
        <f t="shared" si="139"/>
        <v>0</v>
      </c>
      <c r="BE67" s="19">
        <v>0</v>
      </c>
      <c r="BF67" s="19">
        <f t="shared" si="140"/>
        <v>0</v>
      </c>
      <c r="BH67" s="19">
        <f t="shared" si="141"/>
        <v>0</v>
      </c>
      <c r="BI67" s="19">
        <f t="shared" si="142"/>
        <v>0</v>
      </c>
      <c r="BJ67" s="19">
        <f t="shared" si="143"/>
        <v>0</v>
      </c>
      <c r="BK67" s="19"/>
      <c r="BL67" s="19">
        <v>734</v>
      </c>
    </row>
    <row r="68" spans="1:64" ht="15" customHeight="1">
      <c r="A68" s="26" t="s">
        <v>250</v>
      </c>
      <c r="B68" s="21" t="s">
        <v>2</v>
      </c>
      <c r="C68" s="21" t="s">
        <v>345</v>
      </c>
      <c r="D68" s="64" t="s">
        <v>140</v>
      </c>
      <c r="E68" s="64"/>
      <c r="F68" s="21" t="s">
        <v>139</v>
      </c>
      <c r="G68" s="19">
        <v>3</v>
      </c>
      <c r="H68" s="19">
        <v>0</v>
      </c>
      <c r="I68" s="19">
        <f t="shared" si="120"/>
        <v>0</v>
      </c>
      <c r="J68" s="19">
        <f t="shared" si="121"/>
        <v>0</v>
      </c>
      <c r="K68" s="19">
        <f t="shared" si="122"/>
        <v>0</v>
      </c>
      <c r="L68" s="19">
        <v>0</v>
      </c>
      <c r="M68" s="19">
        <f t="shared" si="123"/>
        <v>0</v>
      </c>
      <c r="N68" s="41" t="s">
        <v>476</v>
      </c>
      <c r="Z68" s="19">
        <f t="shared" si="124"/>
        <v>0</v>
      </c>
      <c r="AB68" s="19">
        <f t="shared" si="125"/>
        <v>0</v>
      </c>
      <c r="AC68" s="19">
        <f t="shared" si="126"/>
        <v>0</v>
      </c>
      <c r="AD68" s="19">
        <f t="shared" si="127"/>
        <v>0</v>
      </c>
      <c r="AE68" s="19">
        <f t="shared" si="128"/>
        <v>0</v>
      </c>
      <c r="AF68" s="19">
        <f t="shared" si="129"/>
        <v>0</v>
      </c>
      <c r="AG68" s="19">
        <f t="shared" si="130"/>
        <v>0</v>
      </c>
      <c r="AH68" s="19">
        <f t="shared" si="131"/>
        <v>0</v>
      </c>
      <c r="AI68" s="51" t="s">
        <v>2</v>
      </c>
      <c r="AJ68" s="19">
        <f t="shared" si="132"/>
        <v>0</v>
      </c>
      <c r="AK68" s="19">
        <f t="shared" si="133"/>
        <v>0</v>
      </c>
      <c r="AL68" s="19">
        <f t="shared" si="134"/>
        <v>0</v>
      </c>
      <c r="AN68" s="19">
        <v>21</v>
      </c>
      <c r="AO68" s="19">
        <f>H68*0.0329411764705882</f>
        <v>0</v>
      </c>
      <c r="AP68" s="19">
        <f>H68*(1-0.0329411764705882)</f>
        <v>0</v>
      </c>
      <c r="AQ68" s="3" t="s">
        <v>575</v>
      </c>
      <c r="AV68" s="19">
        <f t="shared" si="135"/>
        <v>0</v>
      </c>
      <c r="AW68" s="19">
        <f t="shared" si="136"/>
        <v>0</v>
      </c>
      <c r="AX68" s="19">
        <f t="shared" si="137"/>
        <v>0</v>
      </c>
      <c r="AY68" s="3" t="s">
        <v>109</v>
      </c>
      <c r="AZ68" s="3" t="s">
        <v>210</v>
      </c>
      <c r="BA68" s="51" t="s">
        <v>503</v>
      </c>
      <c r="BC68" s="19">
        <f t="shared" si="138"/>
        <v>0</v>
      </c>
      <c r="BD68" s="19">
        <f t="shared" si="139"/>
        <v>0</v>
      </c>
      <c r="BE68" s="19">
        <v>0</v>
      </c>
      <c r="BF68" s="19">
        <f t="shared" si="140"/>
        <v>0</v>
      </c>
      <c r="BH68" s="19">
        <f t="shared" si="141"/>
        <v>0</v>
      </c>
      <c r="BI68" s="19">
        <f t="shared" si="142"/>
        <v>0</v>
      </c>
      <c r="BJ68" s="19">
        <f t="shared" si="143"/>
        <v>0</v>
      </c>
      <c r="BK68" s="19"/>
      <c r="BL68" s="19">
        <v>734</v>
      </c>
    </row>
    <row r="69" spans="1:64" ht="15" customHeight="1">
      <c r="A69" s="26" t="s">
        <v>202</v>
      </c>
      <c r="B69" s="21" t="s">
        <v>2</v>
      </c>
      <c r="C69" s="21" t="s">
        <v>640</v>
      </c>
      <c r="D69" s="64" t="s">
        <v>256</v>
      </c>
      <c r="E69" s="64"/>
      <c r="F69" s="21" t="s">
        <v>198</v>
      </c>
      <c r="G69" s="19">
        <v>1</v>
      </c>
      <c r="H69" s="19">
        <v>0</v>
      </c>
      <c r="I69" s="19">
        <f t="shared" si="120"/>
        <v>0</v>
      </c>
      <c r="J69" s="19">
        <f t="shared" si="121"/>
        <v>0</v>
      </c>
      <c r="K69" s="19">
        <f t="shared" si="122"/>
        <v>0</v>
      </c>
      <c r="L69" s="19">
        <v>0.01833</v>
      </c>
      <c r="M69" s="19">
        <f t="shared" si="123"/>
        <v>0.01833</v>
      </c>
      <c r="N69" s="41" t="s">
        <v>476</v>
      </c>
      <c r="Z69" s="19">
        <f t="shared" si="124"/>
        <v>0</v>
      </c>
      <c r="AB69" s="19">
        <f t="shared" si="125"/>
        <v>0</v>
      </c>
      <c r="AC69" s="19">
        <f t="shared" si="126"/>
        <v>0</v>
      </c>
      <c r="AD69" s="19">
        <f t="shared" si="127"/>
        <v>0</v>
      </c>
      <c r="AE69" s="19">
        <f t="shared" si="128"/>
        <v>0</v>
      </c>
      <c r="AF69" s="19">
        <f t="shared" si="129"/>
        <v>0</v>
      </c>
      <c r="AG69" s="19">
        <f t="shared" si="130"/>
        <v>0</v>
      </c>
      <c r="AH69" s="19">
        <f t="shared" si="131"/>
        <v>0</v>
      </c>
      <c r="AI69" s="51" t="s">
        <v>2</v>
      </c>
      <c r="AJ69" s="19">
        <f t="shared" si="132"/>
        <v>0</v>
      </c>
      <c r="AK69" s="19">
        <f t="shared" si="133"/>
        <v>0</v>
      </c>
      <c r="AL69" s="19">
        <f t="shared" si="134"/>
        <v>0</v>
      </c>
      <c r="AN69" s="19">
        <v>21</v>
      </c>
      <c r="AO69" s="19">
        <f>H69*0.901622396789401</f>
        <v>0</v>
      </c>
      <c r="AP69" s="19">
        <f>H69*(1-0.901622396789401)</f>
        <v>0</v>
      </c>
      <c r="AQ69" s="3" t="s">
        <v>575</v>
      </c>
      <c r="AV69" s="19">
        <f t="shared" si="135"/>
        <v>0</v>
      </c>
      <c r="AW69" s="19">
        <f t="shared" si="136"/>
        <v>0</v>
      </c>
      <c r="AX69" s="19">
        <f t="shared" si="137"/>
        <v>0</v>
      </c>
      <c r="AY69" s="3" t="s">
        <v>109</v>
      </c>
      <c r="AZ69" s="3" t="s">
        <v>210</v>
      </c>
      <c r="BA69" s="51" t="s">
        <v>503</v>
      </c>
      <c r="BC69" s="19">
        <f t="shared" si="138"/>
        <v>0</v>
      </c>
      <c r="BD69" s="19">
        <f t="shared" si="139"/>
        <v>0</v>
      </c>
      <c r="BE69" s="19">
        <v>0</v>
      </c>
      <c r="BF69" s="19">
        <f t="shared" si="140"/>
        <v>0.01833</v>
      </c>
      <c r="BH69" s="19">
        <f t="shared" si="141"/>
        <v>0</v>
      </c>
      <c r="BI69" s="19">
        <f t="shared" si="142"/>
        <v>0</v>
      </c>
      <c r="BJ69" s="19">
        <f t="shared" si="143"/>
        <v>0</v>
      </c>
      <c r="BK69" s="19"/>
      <c r="BL69" s="19">
        <v>734</v>
      </c>
    </row>
    <row r="70" spans="1:64" ht="15" customHeight="1">
      <c r="A70" s="26" t="s">
        <v>463</v>
      </c>
      <c r="B70" s="21" t="s">
        <v>2</v>
      </c>
      <c r="C70" s="21" t="s">
        <v>494</v>
      </c>
      <c r="D70" s="64" t="s">
        <v>405</v>
      </c>
      <c r="E70" s="64"/>
      <c r="F70" s="21" t="s">
        <v>198</v>
      </c>
      <c r="G70" s="19">
        <v>1</v>
      </c>
      <c r="H70" s="19">
        <v>0</v>
      </c>
      <c r="I70" s="19">
        <f t="shared" si="120"/>
        <v>0</v>
      </c>
      <c r="J70" s="19">
        <f t="shared" si="121"/>
        <v>0</v>
      </c>
      <c r="K70" s="19">
        <f t="shared" si="122"/>
        <v>0</v>
      </c>
      <c r="L70" s="19">
        <v>0.02271</v>
      </c>
      <c r="M70" s="19">
        <f t="shared" si="123"/>
        <v>0.02271</v>
      </c>
      <c r="N70" s="41" t="s">
        <v>476</v>
      </c>
      <c r="Z70" s="19">
        <f t="shared" si="124"/>
        <v>0</v>
      </c>
      <c r="AB70" s="19">
        <f t="shared" si="125"/>
        <v>0</v>
      </c>
      <c r="AC70" s="19">
        <f t="shared" si="126"/>
        <v>0</v>
      </c>
      <c r="AD70" s="19">
        <f t="shared" si="127"/>
        <v>0</v>
      </c>
      <c r="AE70" s="19">
        <f t="shared" si="128"/>
        <v>0</v>
      </c>
      <c r="AF70" s="19">
        <f t="shared" si="129"/>
        <v>0</v>
      </c>
      <c r="AG70" s="19">
        <f t="shared" si="130"/>
        <v>0</v>
      </c>
      <c r="AH70" s="19">
        <f t="shared" si="131"/>
        <v>0</v>
      </c>
      <c r="AI70" s="51" t="s">
        <v>2</v>
      </c>
      <c r="AJ70" s="19">
        <f t="shared" si="132"/>
        <v>0</v>
      </c>
      <c r="AK70" s="19">
        <f t="shared" si="133"/>
        <v>0</v>
      </c>
      <c r="AL70" s="19">
        <f t="shared" si="134"/>
        <v>0</v>
      </c>
      <c r="AN70" s="19">
        <v>21</v>
      </c>
      <c r="AO70" s="19">
        <f>H70*0.892101861168165</f>
        <v>0</v>
      </c>
      <c r="AP70" s="19">
        <f>H70*(1-0.892101861168165)</f>
        <v>0</v>
      </c>
      <c r="AQ70" s="3" t="s">
        <v>575</v>
      </c>
      <c r="AV70" s="19">
        <f t="shared" si="135"/>
        <v>0</v>
      </c>
      <c r="AW70" s="19">
        <f t="shared" si="136"/>
        <v>0</v>
      </c>
      <c r="AX70" s="19">
        <f t="shared" si="137"/>
        <v>0</v>
      </c>
      <c r="AY70" s="3" t="s">
        <v>109</v>
      </c>
      <c r="AZ70" s="3" t="s">
        <v>210</v>
      </c>
      <c r="BA70" s="51" t="s">
        <v>503</v>
      </c>
      <c r="BC70" s="19">
        <f t="shared" si="138"/>
        <v>0</v>
      </c>
      <c r="BD70" s="19">
        <f t="shared" si="139"/>
        <v>0</v>
      </c>
      <c r="BE70" s="19">
        <v>0</v>
      </c>
      <c r="BF70" s="19">
        <f t="shared" si="140"/>
        <v>0.02271</v>
      </c>
      <c r="BH70" s="19">
        <f t="shared" si="141"/>
        <v>0</v>
      </c>
      <c r="BI70" s="19">
        <f t="shared" si="142"/>
        <v>0</v>
      </c>
      <c r="BJ70" s="19">
        <f t="shared" si="143"/>
        <v>0</v>
      </c>
      <c r="BK70" s="19"/>
      <c r="BL70" s="19">
        <v>734</v>
      </c>
    </row>
    <row r="71" spans="1:64" ht="15" customHeight="1">
      <c r="A71" s="26" t="s">
        <v>595</v>
      </c>
      <c r="B71" s="21" t="s">
        <v>2</v>
      </c>
      <c r="C71" s="21" t="s">
        <v>104</v>
      </c>
      <c r="D71" s="64" t="s">
        <v>246</v>
      </c>
      <c r="E71" s="64"/>
      <c r="F71" s="21" t="s">
        <v>198</v>
      </c>
      <c r="G71" s="19">
        <v>1</v>
      </c>
      <c r="H71" s="19">
        <v>0</v>
      </c>
      <c r="I71" s="19">
        <f t="shared" si="120"/>
        <v>0</v>
      </c>
      <c r="J71" s="19">
        <f t="shared" si="121"/>
        <v>0</v>
      </c>
      <c r="K71" s="19">
        <f t="shared" si="122"/>
        <v>0</v>
      </c>
      <c r="L71" s="19">
        <v>0.00662</v>
      </c>
      <c r="M71" s="19">
        <f t="shared" si="123"/>
        <v>0.00662</v>
      </c>
      <c r="N71" s="41" t="s">
        <v>476</v>
      </c>
      <c r="Z71" s="19">
        <f t="shared" si="124"/>
        <v>0</v>
      </c>
      <c r="AB71" s="19">
        <f t="shared" si="125"/>
        <v>0</v>
      </c>
      <c r="AC71" s="19">
        <f t="shared" si="126"/>
        <v>0</v>
      </c>
      <c r="AD71" s="19">
        <f t="shared" si="127"/>
        <v>0</v>
      </c>
      <c r="AE71" s="19">
        <f t="shared" si="128"/>
        <v>0</v>
      </c>
      <c r="AF71" s="19">
        <f t="shared" si="129"/>
        <v>0</v>
      </c>
      <c r="AG71" s="19">
        <f t="shared" si="130"/>
        <v>0</v>
      </c>
      <c r="AH71" s="19">
        <f t="shared" si="131"/>
        <v>0</v>
      </c>
      <c r="AI71" s="51" t="s">
        <v>2</v>
      </c>
      <c r="AJ71" s="19">
        <f t="shared" si="132"/>
        <v>0</v>
      </c>
      <c r="AK71" s="19">
        <f t="shared" si="133"/>
        <v>0</v>
      </c>
      <c r="AL71" s="19">
        <f t="shared" si="134"/>
        <v>0</v>
      </c>
      <c r="AN71" s="19">
        <v>21</v>
      </c>
      <c r="AO71" s="19">
        <f>H71*0.661278028090354</f>
        <v>0</v>
      </c>
      <c r="AP71" s="19">
        <f>H71*(1-0.661278028090354)</f>
        <v>0</v>
      </c>
      <c r="AQ71" s="3" t="s">
        <v>575</v>
      </c>
      <c r="AV71" s="19">
        <f t="shared" si="135"/>
        <v>0</v>
      </c>
      <c r="AW71" s="19">
        <f t="shared" si="136"/>
        <v>0</v>
      </c>
      <c r="AX71" s="19">
        <f t="shared" si="137"/>
        <v>0</v>
      </c>
      <c r="AY71" s="3" t="s">
        <v>109</v>
      </c>
      <c r="AZ71" s="3" t="s">
        <v>210</v>
      </c>
      <c r="BA71" s="51" t="s">
        <v>503</v>
      </c>
      <c r="BC71" s="19">
        <f t="shared" si="138"/>
        <v>0</v>
      </c>
      <c r="BD71" s="19">
        <f t="shared" si="139"/>
        <v>0</v>
      </c>
      <c r="BE71" s="19">
        <v>0</v>
      </c>
      <c r="BF71" s="19">
        <f t="shared" si="140"/>
        <v>0.00662</v>
      </c>
      <c r="BH71" s="19">
        <f t="shared" si="141"/>
        <v>0</v>
      </c>
      <c r="BI71" s="19">
        <f t="shared" si="142"/>
        <v>0</v>
      </c>
      <c r="BJ71" s="19">
        <f t="shared" si="143"/>
        <v>0</v>
      </c>
      <c r="BK71" s="19"/>
      <c r="BL71" s="19">
        <v>734</v>
      </c>
    </row>
    <row r="72" spans="1:64" ht="15" customHeight="1">
      <c r="A72" s="26" t="s">
        <v>38</v>
      </c>
      <c r="B72" s="21" t="s">
        <v>2</v>
      </c>
      <c r="C72" s="21" t="s">
        <v>489</v>
      </c>
      <c r="D72" s="64" t="s">
        <v>644</v>
      </c>
      <c r="E72" s="64"/>
      <c r="F72" s="21" t="s">
        <v>139</v>
      </c>
      <c r="G72" s="19">
        <v>4</v>
      </c>
      <c r="H72" s="19">
        <v>0</v>
      </c>
      <c r="I72" s="19">
        <f t="shared" si="120"/>
        <v>0</v>
      </c>
      <c r="J72" s="19">
        <f t="shared" si="121"/>
        <v>0</v>
      </c>
      <c r="K72" s="19">
        <f t="shared" si="122"/>
        <v>0</v>
      </c>
      <c r="L72" s="19">
        <v>0.00026</v>
      </c>
      <c r="M72" s="19">
        <f t="shared" si="123"/>
        <v>0.00104</v>
      </c>
      <c r="N72" s="41" t="s">
        <v>476</v>
      </c>
      <c r="Z72" s="19">
        <f t="shared" si="124"/>
        <v>0</v>
      </c>
      <c r="AB72" s="19">
        <f t="shared" si="125"/>
        <v>0</v>
      </c>
      <c r="AC72" s="19">
        <f t="shared" si="126"/>
        <v>0</v>
      </c>
      <c r="AD72" s="19">
        <f t="shared" si="127"/>
        <v>0</v>
      </c>
      <c r="AE72" s="19">
        <f t="shared" si="128"/>
        <v>0</v>
      </c>
      <c r="AF72" s="19">
        <f t="shared" si="129"/>
        <v>0</v>
      </c>
      <c r="AG72" s="19">
        <f t="shared" si="130"/>
        <v>0</v>
      </c>
      <c r="AH72" s="19">
        <f t="shared" si="131"/>
        <v>0</v>
      </c>
      <c r="AI72" s="51" t="s">
        <v>2</v>
      </c>
      <c r="AJ72" s="19">
        <f t="shared" si="132"/>
        <v>0</v>
      </c>
      <c r="AK72" s="19">
        <f t="shared" si="133"/>
        <v>0</v>
      </c>
      <c r="AL72" s="19">
        <f t="shared" si="134"/>
        <v>0</v>
      </c>
      <c r="AN72" s="19">
        <v>21</v>
      </c>
      <c r="AO72" s="19">
        <f>H72*0.807741228070175</f>
        <v>0</v>
      </c>
      <c r="AP72" s="19">
        <f>H72*(1-0.807741228070175)</f>
        <v>0</v>
      </c>
      <c r="AQ72" s="3" t="s">
        <v>575</v>
      </c>
      <c r="AV72" s="19">
        <f t="shared" si="135"/>
        <v>0</v>
      </c>
      <c r="AW72" s="19">
        <f t="shared" si="136"/>
        <v>0</v>
      </c>
      <c r="AX72" s="19">
        <f t="shared" si="137"/>
        <v>0</v>
      </c>
      <c r="AY72" s="3" t="s">
        <v>109</v>
      </c>
      <c r="AZ72" s="3" t="s">
        <v>210</v>
      </c>
      <c r="BA72" s="51" t="s">
        <v>503</v>
      </c>
      <c r="BC72" s="19">
        <f t="shared" si="138"/>
        <v>0</v>
      </c>
      <c r="BD72" s="19">
        <f t="shared" si="139"/>
        <v>0</v>
      </c>
      <c r="BE72" s="19">
        <v>0</v>
      </c>
      <c r="BF72" s="19">
        <f t="shared" si="140"/>
        <v>0.00104</v>
      </c>
      <c r="BH72" s="19">
        <f t="shared" si="141"/>
        <v>0</v>
      </c>
      <c r="BI72" s="19">
        <f t="shared" si="142"/>
        <v>0</v>
      </c>
      <c r="BJ72" s="19">
        <f t="shared" si="143"/>
        <v>0</v>
      </c>
      <c r="BK72" s="19"/>
      <c r="BL72" s="19">
        <v>734</v>
      </c>
    </row>
    <row r="73" spans="1:64" ht="15" customHeight="1">
      <c r="A73" s="26" t="s">
        <v>447</v>
      </c>
      <c r="B73" s="21" t="s">
        <v>2</v>
      </c>
      <c r="C73" s="21" t="s">
        <v>251</v>
      </c>
      <c r="D73" s="64" t="s">
        <v>607</v>
      </c>
      <c r="E73" s="64"/>
      <c r="F73" s="21" t="s">
        <v>139</v>
      </c>
      <c r="G73" s="19">
        <v>1</v>
      </c>
      <c r="H73" s="19">
        <v>0</v>
      </c>
      <c r="I73" s="19">
        <f t="shared" si="120"/>
        <v>0</v>
      </c>
      <c r="J73" s="19">
        <f t="shared" si="121"/>
        <v>0</v>
      </c>
      <c r="K73" s="19">
        <f t="shared" si="122"/>
        <v>0</v>
      </c>
      <c r="L73" s="19">
        <v>0.00038</v>
      </c>
      <c r="M73" s="19">
        <f t="shared" si="123"/>
        <v>0.00038</v>
      </c>
      <c r="N73" s="41" t="s">
        <v>476</v>
      </c>
      <c r="Z73" s="19">
        <f t="shared" si="124"/>
        <v>0</v>
      </c>
      <c r="AB73" s="19">
        <f t="shared" si="125"/>
        <v>0</v>
      </c>
      <c r="AC73" s="19">
        <f t="shared" si="126"/>
        <v>0</v>
      </c>
      <c r="AD73" s="19">
        <f t="shared" si="127"/>
        <v>0</v>
      </c>
      <c r="AE73" s="19">
        <f t="shared" si="128"/>
        <v>0</v>
      </c>
      <c r="AF73" s="19">
        <f t="shared" si="129"/>
        <v>0</v>
      </c>
      <c r="AG73" s="19">
        <f t="shared" si="130"/>
        <v>0</v>
      </c>
      <c r="AH73" s="19">
        <f t="shared" si="131"/>
        <v>0</v>
      </c>
      <c r="AI73" s="51" t="s">
        <v>2</v>
      </c>
      <c r="AJ73" s="19">
        <f t="shared" si="132"/>
        <v>0</v>
      </c>
      <c r="AK73" s="19">
        <f t="shared" si="133"/>
        <v>0</v>
      </c>
      <c r="AL73" s="19">
        <f t="shared" si="134"/>
        <v>0</v>
      </c>
      <c r="AN73" s="19">
        <v>21</v>
      </c>
      <c r="AO73" s="19">
        <f>H73*0.77253360910031</f>
        <v>0</v>
      </c>
      <c r="AP73" s="19">
        <f>H73*(1-0.77253360910031)</f>
        <v>0</v>
      </c>
      <c r="AQ73" s="3" t="s">
        <v>575</v>
      </c>
      <c r="AV73" s="19">
        <f t="shared" si="135"/>
        <v>0</v>
      </c>
      <c r="AW73" s="19">
        <f t="shared" si="136"/>
        <v>0</v>
      </c>
      <c r="AX73" s="19">
        <f t="shared" si="137"/>
        <v>0</v>
      </c>
      <c r="AY73" s="3" t="s">
        <v>109</v>
      </c>
      <c r="AZ73" s="3" t="s">
        <v>210</v>
      </c>
      <c r="BA73" s="51" t="s">
        <v>503</v>
      </c>
      <c r="BC73" s="19">
        <f t="shared" si="138"/>
        <v>0</v>
      </c>
      <c r="BD73" s="19">
        <f t="shared" si="139"/>
        <v>0</v>
      </c>
      <c r="BE73" s="19">
        <v>0</v>
      </c>
      <c r="BF73" s="19">
        <f t="shared" si="140"/>
        <v>0.00038</v>
      </c>
      <c r="BH73" s="19">
        <f t="shared" si="141"/>
        <v>0</v>
      </c>
      <c r="BI73" s="19">
        <f t="shared" si="142"/>
        <v>0</v>
      </c>
      <c r="BJ73" s="19">
        <f t="shared" si="143"/>
        <v>0</v>
      </c>
      <c r="BK73" s="19"/>
      <c r="BL73" s="19">
        <v>734</v>
      </c>
    </row>
    <row r="74" spans="1:64" ht="15" customHeight="1">
      <c r="A74" s="26" t="s">
        <v>468</v>
      </c>
      <c r="B74" s="21" t="s">
        <v>2</v>
      </c>
      <c r="C74" s="21" t="s">
        <v>61</v>
      </c>
      <c r="D74" s="64" t="s">
        <v>441</v>
      </c>
      <c r="E74" s="64"/>
      <c r="F74" s="21" t="s">
        <v>139</v>
      </c>
      <c r="G74" s="19">
        <v>5</v>
      </c>
      <c r="H74" s="19">
        <v>0</v>
      </c>
      <c r="I74" s="19">
        <f t="shared" si="120"/>
        <v>0</v>
      </c>
      <c r="J74" s="19">
        <f t="shared" si="121"/>
        <v>0</v>
      </c>
      <c r="K74" s="19">
        <f t="shared" si="122"/>
        <v>0</v>
      </c>
      <c r="L74" s="19">
        <v>0.00061</v>
      </c>
      <c r="M74" s="19">
        <f t="shared" si="123"/>
        <v>0.0030499999999999998</v>
      </c>
      <c r="N74" s="41" t="s">
        <v>476</v>
      </c>
      <c r="Z74" s="19">
        <f t="shared" si="124"/>
        <v>0</v>
      </c>
      <c r="AB74" s="19">
        <f t="shared" si="125"/>
        <v>0</v>
      </c>
      <c r="AC74" s="19">
        <f t="shared" si="126"/>
        <v>0</v>
      </c>
      <c r="AD74" s="19">
        <f t="shared" si="127"/>
        <v>0</v>
      </c>
      <c r="AE74" s="19">
        <f t="shared" si="128"/>
        <v>0</v>
      </c>
      <c r="AF74" s="19">
        <f t="shared" si="129"/>
        <v>0</v>
      </c>
      <c r="AG74" s="19">
        <f t="shared" si="130"/>
        <v>0</v>
      </c>
      <c r="AH74" s="19">
        <f t="shared" si="131"/>
        <v>0</v>
      </c>
      <c r="AI74" s="51" t="s">
        <v>2</v>
      </c>
      <c r="AJ74" s="19">
        <f t="shared" si="132"/>
        <v>0</v>
      </c>
      <c r="AK74" s="19">
        <f t="shared" si="133"/>
        <v>0</v>
      </c>
      <c r="AL74" s="19">
        <f t="shared" si="134"/>
        <v>0</v>
      </c>
      <c r="AN74" s="19">
        <v>21</v>
      </c>
      <c r="AO74" s="19">
        <f>H74*0.829420084865629</f>
        <v>0</v>
      </c>
      <c r="AP74" s="19">
        <f>H74*(1-0.829420084865629)</f>
        <v>0</v>
      </c>
      <c r="AQ74" s="3" t="s">
        <v>575</v>
      </c>
      <c r="AV74" s="19">
        <f t="shared" si="135"/>
        <v>0</v>
      </c>
      <c r="AW74" s="19">
        <f t="shared" si="136"/>
        <v>0</v>
      </c>
      <c r="AX74" s="19">
        <f t="shared" si="137"/>
        <v>0</v>
      </c>
      <c r="AY74" s="3" t="s">
        <v>109</v>
      </c>
      <c r="AZ74" s="3" t="s">
        <v>210</v>
      </c>
      <c r="BA74" s="51" t="s">
        <v>503</v>
      </c>
      <c r="BC74" s="19">
        <f t="shared" si="138"/>
        <v>0</v>
      </c>
      <c r="BD74" s="19">
        <f t="shared" si="139"/>
        <v>0</v>
      </c>
      <c r="BE74" s="19">
        <v>0</v>
      </c>
      <c r="BF74" s="19">
        <f t="shared" si="140"/>
        <v>0.0030499999999999998</v>
      </c>
      <c r="BH74" s="19">
        <f t="shared" si="141"/>
        <v>0</v>
      </c>
      <c r="BI74" s="19">
        <f t="shared" si="142"/>
        <v>0</v>
      </c>
      <c r="BJ74" s="19">
        <f t="shared" si="143"/>
        <v>0</v>
      </c>
      <c r="BK74" s="19"/>
      <c r="BL74" s="19">
        <v>734</v>
      </c>
    </row>
    <row r="75" spans="1:64" ht="15" customHeight="1">
      <c r="A75" s="26" t="s">
        <v>244</v>
      </c>
      <c r="B75" s="21" t="s">
        <v>2</v>
      </c>
      <c r="C75" s="21" t="s">
        <v>86</v>
      </c>
      <c r="D75" s="64" t="s">
        <v>98</v>
      </c>
      <c r="E75" s="64"/>
      <c r="F75" s="21" t="s">
        <v>139</v>
      </c>
      <c r="G75" s="19">
        <v>10</v>
      </c>
      <c r="H75" s="19">
        <v>0</v>
      </c>
      <c r="I75" s="19">
        <f t="shared" si="120"/>
        <v>0</v>
      </c>
      <c r="J75" s="19">
        <f t="shared" si="121"/>
        <v>0</v>
      </c>
      <c r="K75" s="19">
        <f t="shared" si="122"/>
        <v>0</v>
      </c>
      <c r="L75" s="19">
        <v>0.00089</v>
      </c>
      <c r="M75" s="19">
        <f t="shared" si="123"/>
        <v>0.0089</v>
      </c>
      <c r="N75" s="41" t="s">
        <v>476</v>
      </c>
      <c r="Z75" s="19">
        <f t="shared" si="124"/>
        <v>0</v>
      </c>
      <c r="AB75" s="19">
        <f t="shared" si="125"/>
        <v>0</v>
      </c>
      <c r="AC75" s="19">
        <f t="shared" si="126"/>
        <v>0</v>
      </c>
      <c r="AD75" s="19">
        <f t="shared" si="127"/>
        <v>0</v>
      </c>
      <c r="AE75" s="19">
        <f t="shared" si="128"/>
        <v>0</v>
      </c>
      <c r="AF75" s="19">
        <f t="shared" si="129"/>
        <v>0</v>
      </c>
      <c r="AG75" s="19">
        <f t="shared" si="130"/>
        <v>0</v>
      </c>
      <c r="AH75" s="19">
        <f t="shared" si="131"/>
        <v>0</v>
      </c>
      <c r="AI75" s="51" t="s">
        <v>2</v>
      </c>
      <c r="AJ75" s="19">
        <f t="shared" si="132"/>
        <v>0</v>
      </c>
      <c r="AK75" s="19">
        <f t="shared" si="133"/>
        <v>0</v>
      </c>
      <c r="AL75" s="19">
        <f t="shared" si="134"/>
        <v>0</v>
      </c>
      <c r="AN75" s="19">
        <v>21</v>
      </c>
      <c r="AO75" s="19">
        <f>H75*0.854460285132383</f>
        <v>0</v>
      </c>
      <c r="AP75" s="19">
        <f>H75*(1-0.854460285132383)</f>
        <v>0</v>
      </c>
      <c r="AQ75" s="3" t="s">
        <v>575</v>
      </c>
      <c r="AV75" s="19">
        <f t="shared" si="135"/>
        <v>0</v>
      </c>
      <c r="AW75" s="19">
        <f t="shared" si="136"/>
        <v>0</v>
      </c>
      <c r="AX75" s="19">
        <f t="shared" si="137"/>
        <v>0</v>
      </c>
      <c r="AY75" s="3" t="s">
        <v>109</v>
      </c>
      <c r="AZ75" s="3" t="s">
        <v>210</v>
      </c>
      <c r="BA75" s="51" t="s">
        <v>503</v>
      </c>
      <c r="BC75" s="19">
        <f t="shared" si="138"/>
        <v>0</v>
      </c>
      <c r="BD75" s="19">
        <f t="shared" si="139"/>
        <v>0</v>
      </c>
      <c r="BE75" s="19">
        <v>0</v>
      </c>
      <c r="BF75" s="19">
        <f t="shared" si="140"/>
        <v>0.0089</v>
      </c>
      <c r="BH75" s="19">
        <f t="shared" si="141"/>
        <v>0</v>
      </c>
      <c r="BI75" s="19">
        <f t="shared" si="142"/>
        <v>0</v>
      </c>
      <c r="BJ75" s="19">
        <f t="shared" si="143"/>
        <v>0</v>
      </c>
      <c r="BK75" s="19"/>
      <c r="BL75" s="19">
        <v>734</v>
      </c>
    </row>
    <row r="76" spans="1:64" ht="15" customHeight="1">
      <c r="A76" s="26" t="s">
        <v>237</v>
      </c>
      <c r="B76" s="21" t="s">
        <v>2</v>
      </c>
      <c r="C76" s="21" t="s">
        <v>491</v>
      </c>
      <c r="D76" s="64" t="s">
        <v>599</v>
      </c>
      <c r="E76" s="64"/>
      <c r="F76" s="21" t="s">
        <v>139</v>
      </c>
      <c r="G76" s="19">
        <v>2</v>
      </c>
      <c r="H76" s="19">
        <v>0</v>
      </c>
      <c r="I76" s="19">
        <f t="shared" si="120"/>
        <v>0</v>
      </c>
      <c r="J76" s="19">
        <f t="shared" si="121"/>
        <v>0</v>
      </c>
      <c r="K76" s="19">
        <f t="shared" si="122"/>
        <v>0</v>
      </c>
      <c r="L76" s="19">
        <v>0.0013</v>
      </c>
      <c r="M76" s="19">
        <f t="shared" si="123"/>
        <v>0.0026</v>
      </c>
      <c r="N76" s="41" t="s">
        <v>476</v>
      </c>
      <c r="Z76" s="19">
        <f t="shared" si="124"/>
        <v>0</v>
      </c>
      <c r="AB76" s="19">
        <f t="shared" si="125"/>
        <v>0</v>
      </c>
      <c r="AC76" s="19">
        <f t="shared" si="126"/>
        <v>0</v>
      </c>
      <c r="AD76" s="19">
        <f t="shared" si="127"/>
        <v>0</v>
      </c>
      <c r="AE76" s="19">
        <f t="shared" si="128"/>
        <v>0</v>
      </c>
      <c r="AF76" s="19">
        <f t="shared" si="129"/>
        <v>0</v>
      </c>
      <c r="AG76" s="19">
        <f t="shared" si="130"/>
        <v>0</v>
      </c>
      <c r="AH76" s="19">
        <f t="shared" si="131"/>
        <v>0</v>
      </c>
      <c r="AI76" s="51" t="s">
        <v>2</v>
      </c>
      <c r="AJ76" s="19">
        <f t="shared" si="132"/>
        <v>0</v>
      </c>
      <c r="AK76" s="19">
        <f t="shared" si="133"/>
        <v>0</v>
      </c>
      <c r="AL76" s="19">
        <f t="shared" si="134"/>
        <v>0</v>
      </c>
      <c r="AN76" s="19">
        <v>21</v>
      </c>
      <c r="AO76" s="19">
        <f>H76*0.876427279173487</f>
        <v>0</v>
      </c>
      <c r="AP76" s="19">
        <f>H76*(1-0.876427279173487)</f>
        <v>0</v>
      </c>
      <c r="AQ76" s="3" t="s">
        <v>575</v>
      </c>
      <c r="AV76" s="19">
        <f t="shared" si="135"/>
        <v>0</v>
      </c>
      <c r="AW76" s="19">
        <f t="shared" si="136"/>
        <v>0</v>
      </c>
      <c r="AX76" s="19">
        <f t="shared" si="137"/>
        <v>0</v>
      </c>
      <c r="AY76" s="3" t="s">
        <v>109</v>
      </c>
      <c r="AZ76" s="3" t="s">
        <v>210</v>
      </c>
      <c r="BA76" s="51" t="s">
        <v>503</v>
      </c>
      <c r="BC76" s="19">
        <f t="shared" si="138"/>
        <v>0</v>
      </c>
      <c r="BD76" s="19">
        <f t="shared" si="139"/>
        <v>0</v>
      </c>
      <c r="BE76" s="19">
        <v>0</v>
      </c>
      <c r="BF76" s="19">
        <f t="shared" si="140"/>
        <v>0.0026</v>
      </c>
      <c r="BH76" s="19">
        <f t="shared" si="141"/>
        <v>0</v>
      </c>
      <c r="BI76" s="19">
        <f t="shared" si="142"/>
        <v>0</v>
      </c>
      <c r="BJ76" s="19">
        <f t="shared" si="143"/>
        <v>0</v>
      </c>
      <c r="BK76" s="19"/>
      <c r="BL76" s="19">
        <v>734</v>
      </c>
    </row>
    <row r="77" spans="1:64" ht="15" customHeight="1">
      <c r="A77" s="26" t="s">
        <v>267</v>
      </c>
      <c r="B77" s="21" t="s">
        <v>2</v>
      </c>
      <c r="C77" s="21" t="s">
        <v>446</v>
      </c>
      <c r="D77" s="64" t="s">
        <v>51</v>
      </c>
      <c r="E77" s="64"/>
      <c r="F77" s="21" t="s">
        <v>139</v>
      </c>
      <c r="G77" s="19">
        <v>12</v>
      </c>
      <c r="H77" s="19">
        <v>0</v>
      </c>
      <c r="I77" s="19">
        <f t="shared" si="120"/>
        <v>0</v>
      </c>
      <c r="J77" s="19">
        <f t="shared" si="121"/>
        <v>0</v>
      </c>
      <c r="K77" s="19">
        <f t="shared" si="122"/>
        <v>0</v>
      </c>
      <c r="L77" s="19">
        <v>0.00208</v>
      </c>
      <c r="M77" s="19">
        <f t="shared" si="123"/>
        <v>0.024959999999999996</v>
      </c>
      <c r="N77" s="41" t="s">
        <v>476</v>
      </c>
      <c r="Z77" s="19">
        <f t="shared" si="124"/>
        <v>0</v>
      </c>
      <c r="AB77" s="19">
        <f t="shared" si="125"/>
        <v>0</v>
      </c>
      <c r="AC77" s="19">
        <f t="shared" si="126"/>
        <v>0</v>
      </c>
      <c r="AD77" s="19">
        <f t="shared" si="127"/>
        <v>0</v>
      </c>
      <c r="AE77" s="19">
        <f t="shared" si="128"/>
        <v>0</v>
      </c>
      <c r="AF77" s="19">
        <f t="shared" si="129"/>
        <v>0</v>
      </c>
      <c r="AG77" s="19">
        <f t="shared" si="130"/>
        <v>0</v>
      </c>
      <c r="AH77" s="19">
        <f t="shared" si="131"/>
        <v>0</v>
      </c>
      <c r="AI77" s="51" t="s">
        <v>2</v>
      </c>
      <c r="AJ77" s="19">
        <f t="shared" si="132"/>
        <v>0</v>
      </c>
      <c r="AK77" s="19">
        <f t="shared" si="133"/>
        <v>0</v>
      </c>
      <c r="AL77" s="19">
        <f t="shared" si="134"/>
        <v>0</v>
      </c>
      <c r="AN77" s="19">
        <v>21</v>
      </c>
      <c r="AO77" s="19">
        <f>H77*0.895466842381242</f>
        <v>0</v>
      </c>
      <c r="AP77" s="19">
        <f>H77*(1-0.895466842381242)</f>
        <v>0</v>
      </c>
      <c r="AQ77" s="3" t="s">
        <v>575</v>
      </c>
      <c r="AV77" s="19">
        <f t="shared" si="135"/>
        <v>0</v>
      </c>
      <c r="AW77" s="19">
        <f t="shared" si="136"/>
        <v>0</v>
      </c>
      <c r="AX77" s="19">
        <f t="shared" si="137"/>
        <v>0</v>
      </c>
      <c r="AY77" s="3" t="s">
        <v>109</v>
      </c>
      <c r="AZ77" s="3" t="s">
        <v>210</v>
      </c>
      <c r="BA77" s="51" t="s">
        <v>503</v>
      </c>
      <c r="BC77" s="19">
        <f t="shared" si="138"/>
        <v>0</v>
      </c>
      <c r="BD77" s="19">
        <f t="shared" si="139"/>
        <v>0</v>
      </c>
      <c r="BE77" s="19">
        <v>0</v>
      </c>
      <c r="BF77" s="19">
        <f t="shared" si="140"/>
        <v>0.024959999999999996</v>
      </c>
      <c r="BH77" s="19">
        <f t="shared" si="141"/>
        <v>0</v>
      </c>
      <c r="BI77" s="19">
        <f t="shared" si="142"/>
        <v>0</v>
      </c>
      <c r="BJ77" s="19">
        <f t="shared" si="143"/>
        <v>0</v>
      </c>
      <c r="BK77" s="19"/>
      <c r="BL77" s="19">
        <v>734</v>
      </c>
    </row>
    <row r="78" spans="1:64" ht="15" customHeight="1">
      <c r="A78" s="26" t="s">
        <v>523</v>
      </c>
      <c r="B78" s="21" t="s">
        <v>2</v>
      </c>
      <c r="C78" s="21" t="s">
        <v>408</v>
      </c>
      <c r="D78" s="64" t="s">
        <v>572</v>
      </c>
      <c r="E78" s="64"/>
      <c r="F78" s="21" t="s">
        <v>139</v>
      </c>
      <c r="G78" s="19">
        <v>3</v>
      </c>
      <c r="H78" s="19">
        <v>0</v>
      </c>
      <c r="I78" s="19">
        <f t="shared" si="120"/>
        <v>0</v>
      </c>
      <c r="J78" s="19">
        <f t="shared" si="121"/>
        <v>0</v>
      </c>
      <c r="K78" s="19">
        <f t="shared" si="122"/>
        <v>0</v>
      </c>
      <c r="L78" s="19">
        <v>0.0023</v>
      </c>
      <c r="M78" s="19">
        <f t="shared" si="123"/>
        <v>0.0069</v>
      </c>
      <c r="N78" s="41" t="s">
        <v>476</v>
      </c>
      <c r="Z78" s="19">
        <f t="shared" si="124"/>
        <v>0</v>
      </c>
      <c r="AB78" s="19">
        <f t="shared" si="125"/>
        <v>0</v>
      </c>
      <c r="AC78" s="19">
        <f t="shared" si="126"/>
        <v>0</v>
      </c>
      <c r="AD78" s="19">
        <f t="shared" si="127"/>
        <v>0</v>
      </c>
      <c r="AE78" s="19">
        <f t="shared" si="128"/>
        <v>0</v>
      </c>
      <c r="AF78" s="19">
        <f t="shared" si="129"/>
        <v>0</v>
      </c>
      <c r="AG78" s="19">
        <f t="shared" si="130"/>
        <v>0</v>
      </c>
      <c r="AH78" s="19">
        <f t="shared" si="131"/>
        <v>0</v>
      </c>
      <c r="AI78" s="51" t="s">
        <v>2</v>
      </c>
      <c r="AJ78" s="19">
        <f t="shared" si="132"/>
        <v>0</v>
      </c>
      <c r="AK78" s="19">
        <f t="shared" si="133"/>
        <v>0</v>
      </c>
      <c r="AL78" s="19">
        <f t="shared" si="134"/>
        <v>0</v>
      </c>
      <c r="AN78" s="19">
        <v>21</v>
      </c>
      <c r="AO78" s="19">
        <f>H78*0.951554237288136</f>
        <v>0</v>
      </c>
      <c r="AP78" s="19">
        <f>H78*(1-0.951554237288136)</f>
        <v>0</v>
      </c>
      <c r="AQ78" s="3" t="s">
        <v>575</v>
      </c>
      <c r="AV78" s="19">
        <f t="shared" si="135"/>
        <v>0</v>
      </c>
      <c r="AW78" s="19">
        <f t="shared" si="136"/>
        <v>0</v>
      </c>
      <c r="AX78" s="19">
        <f t="shared" si="137"/>
        <v>0</v>
      </c>
      <c r="AY78" s="3" t="s">
        <v>109</v>
      </c>
      <c r="AZ78" s="3" t="s">
        <v>210</v>
      </c>
      <c r="BA78" s="51" t="s">
        <v>503</v>
      </c>
      <c r="BC78" s="19">
        <f t="shared" si="138"/>
        <v>0</v>
      </c>
      <c r="BD78" s="19">
        <f t="shared" si="139"/>
        <v>0</v>
      </c>
      <c r="BE78" s="19">
        <v>0</v>
      </c>
      <c r="BF78" s="19">
        <f t="shared" si="140"/>
        <v>0.0069</v>
      </c>
      <c r="BH78" s="19">
        <f t="shared" si="141"/>
        <v>0</v>
      </c>
      <c r="BI78" s="19">
        <f t="shared" si="142"/>
        <v>0</v>
      </c>
      <c r="BJ78" s="19">
        <f t="shared" si="143"/>
        <v>0</v>
      </c>
      <c r="BK78" s="19"/>
      <c r="BL78" s="19">
        <v>734</v>
      </c>
    </row>
    <row r="79" spans="1:64" ht="15" customHeight="1">
      <c r="A79" s="26" t="s">
        <v>374</v>
      </c>
      <c r="B79" s="21" t="s">
        <v>2</v>
      </c>
      <c r="C79" s="21" t="s">
        <v>16</v>
      </c>
      <c r="D79" s="64" t="s">
        <v>201</v>
      </c>
      <c r="E79" s="64"/>
      <c r="F79" s="21" t="s">
        <v>139</v>
      </c>
      <c r="G79" s="19">
        <v>3</v>
      </c>
      <c r="H79" s="19">
        <v>0</v>
      </c>
      <c r="I79" s="19">
        <f t="shared" si="120"/>
        <v>0</v>
      </c>
      <c r="J79" s="19">
        <f t="shared" si="121"/>
        <v>0</v>
      </c>
      <c r="K79" s="19">
        <f t="shared" si="122"/>
        <v>0</v>
      </c>
      <c r="L79" s="19">
        <v>0.00055</v>
      </c>
      <c r="M79" s="19">
        <f t="shared" si="123"/>
        <v>0.00165</v>
      </c>
      <c r="N79" s="41" t="s">
        <v>476</v>
      </c>
      <c r="Z79" s="19">
        <f t="shared" si="124"/>
        <v>0</v>
      </c>
      <c r="AB79" s="19">
        <f t="shared" si="125"/>
        <v>0</v>
      </c>
      <c r="AC79" s="19">
        <f t="shared" si="126"/>
        <v>0</v>
      </c>
      <c r="AD79" s="19">
        <f t="shared" si="127"/>
        <v>0</v>
      </c>
      <c r="AE79" s="19">
        <f t="shared" si="128"/>
        <v>0</v>
      </c>
      <c r="AF79" s="19">
        <f t="shared" si="129"/>
        <v>0</v>
      </c>
      <c r="AG79" s="19">
        <f t="shared" si="130"/>
        <v>0</v>
      </c>
      <c r="AH79" s="19">
        <f t="shared" si="131"/>
        <v>0</v>
      </c>
      <c r="AI79" s="51" t="s">
        <v>2</v>
      </c>
      <c r="AJ79" s="19">
        <f t="shared" si="132"/>
        <v>0</v>
      </c>
      <c r="AK79" s="19">
        <f t="shared" si="133"/>
        <v>0</v>
      </c>
      <c r="AL79" s="19">
        <f t="shared" si="134"/>
        <v>0</v>
      </c>
      <c r="AN79" s="19">
        <v>21</v>
      </c>
      <c r="AO79" s="19">
        <f>H79*0.859882352941177</f>
        <v>0</v>
      </c>
      <c r="AP79" s="19">
        <f>H79*(1-0.859882352941177)</f>
        <v>0</v>
      </c>
      <c r="AQ79" s="3" t="s">
        <v>575</v>
      </c>
      <c r="AV79" s="19">
        <f t="shared" si="135"/>
        <v>0</v>
      </c>
      <c r="AW79" s="19">
        <f t="shared" si="136"/>
        <v>0</v>
      </c>
      <c r="AX79" s="19">
        <f t="shared" si="137"/>
        <v>0</v>
      </c>
      <c r="AY79" s="3" t="s">
        <v>109</v>
      </c>
      <c r="AZ79" s="3" t="s">
        <v>210</v>
      </c>
      <c r="BA79" s="51" t="s">
        <v>503</v>
      </c>
      <c r="BC79" s="19">
        <f t="shared" si="138"/>
        <v>0</v>
      </c>
      <c r="BD79" s="19">
        <f t="shared" si="139"/>
        <v>0</v>
      </c>
      <c r="BE79" s="19">
        <v>0</v>
      </c>
      <c r="BF79" s="19">
        <f t="shared" si="140"/>
        <v>0.00165</v>
      </c>
      <c r="BH79" s="19">
        <f t="shared" si="141"/>
        <v>0</v>
      </c>
      <c r="BI79" s="19">
        <f t="shared" si="142"/>
        <v>0</v>
      </c>
      <c r="BJ79" s="19">
        <f t="shared" si="143"/>
        <v>0</v>
      </c>
      <c r="BK79" s="19"/>
      <c r="BL79" s="19">
        <v>734</v>
      </c>
    </row>
    <row r="80" spans="1:64" ht="15" customHeight="1">
      <c r="A80" s="26" t="s">
        <v>355</v>
      </c>
      <c r="B80" s="21" t="s">
        <v>2</v>
      </c>
      <c r="C80" s="21" t="s">
        <v>42</v>
      </c>
      <c r="D80" s="64" t="s">
        <v>275</v>
      </c>
      <c r="E80" s="64"/>
      <c r="F80" s="21" t="s">
        <v>139</v>
      </c>
      <c r="G80" s="19">
        <v>1</v>
      </c>
      <c r="H80" s="19">
        <v>0</v>
      </c>
      <c r="I80" s="19">
        <f t="shared" si="120"/>
        <v>0</v>
      </c>
      <c r="J80" s="19">
        <f t="shared" si="121"/>
        <v>0</v>
      </c>
      <c r="K80" s="19">
        <f t="shared" si="122"/>
        <v>0</v>
      </c>
      <c r="L80" s="19">
        <v>0.00068</v>
      </c>
      <c r="M80" s="19">
        <f t="shared" si="123"/>
        <v>0.00068</v>
      </c>
      <c r="N80" s="41" t="s">
        <v>476</v>
      </c>
      <c r="Z80" s="19">
        <f t="shared" si="124"/>
        <v>0</v>
      </c>
      <c r="AB80" s="19">
        <f t="shared" si="125"/>
        <v>0</v>
      </c>
      <c r="AC80" s="19">
        <f t="shared" si="126"/>
        <v>0</v>
      </c>
      <c r="AD80" s="19">
        <f t="shared" si="127"/>
        <v>0</v>
      </c>
      <c r="AE80" s="19">
        <f t="shared" si="128"/>
        <v>0</v>
      </c>
      <c r="AF80" s="19">
        <f t="shared" si="129"/>
        <v>0</v>
      </c>
      <c r="AG80" s="19">
        <f t="shared" si="130"/>
        <v>0</v>
      </c>
      <c r="AH80" s="19">
        <f t="shared" si="131"/>
        <v>0</v>
      </c>
      <c r="AI80" s="51" t="s">
        <v>2</v>
      </c>
      <c r="AJ80" s="19">
        <f t="shared" si="132"/>
        <v>0</v>
      </c>
      <c r="AK80" s="19">
        <f t="shared" si="133"/>
        <v>0</v>
      </c>
      <c r="AL80" s="19">
        <f t="shared" si="134"/>
        <v>0</v>
      </c>
      <c r="AN80" s="19">
        <v>21</v>
      </c>
      <c r="AO80" s="19">
        <f>H80*0.856228652495393</f>
        <v>0</v>
      </c>
      <c r="AP80" s="19">
        <f>H80*(1-0.856228652495393)</f>
        <v>0</v>
      </c>
      <c r="AQ80" s="3" t="s">
        <v>575</v>
      </c>
      <c r="AV80" s="19">
        <f t="shared" si="135"/>
        <v>0</v>
      </c>
      <c r="AW80" s="19">
        <f t="shared" si="136"/>
        <v>0</v>
      </c>
      <c r="AX80" s="19">
        <f t="shared" si="137"/>
        <v>0</v>
      </c>
      <c r="AY80" s="3" t="s">
        <v>109</v>
      </c>
      <c r="AZ80" s="3" t="s">
        <v>210</v>
      </c>
      <c r="BA80" s="51" t="s">
        <v>503</v>
      </c>
      <c r="BC80" s="19">
        <f t="shared" si="138"/>
        <v>0</v>
      </c>
      <c r="BD80" s="19">
        <f t="shared" si="139"/>
        <v>0</v>
      </c>
      <c r="BE80" s="19">
        <v>0</v>
      </c>
      <c r="BF80" s="19">
        <f t="shared" si="140"/>
        <v>0.00068</v>
      </c>
      <c r="BH80" s="19">
        <f t="shared" si="141"/>
        <v>0</v>
      </c>
      <c r="BI80" s="19">
        <f t="shared" si="142"/>
        <v>0</v>
      </c>
      <c r="BJ80" s="19">
        <f t="shared" si="143"/>
        <v>0</v>
      </c>
      <c r="BK80" s="19"/>
      <c r="BL80" s="19">
        <v>734</v>
      </c>
    </row>
    <row r="81" spans="1:64" ht="15" customHeight="1">
      <c r="A81" s="26" t="s">
        <v>537</v>
      </c>
      <c r="B81" s="21" t="s">
        <v>2</v>
      </c>
      <c r="C81" s="21" t="s">
        <v>221</v>
      </c>
      <c r="D81" s="64" t="s">
        <v>292</v>
      </c>
      <c r="E81" s="64"/>
      <c r="F81" s="21" t="s">
        <v>139</v>
      </c>
      <c r="G81" s="19">
        <v>1</v>
      </c>
      <c r="H81" s="19">
        <v>0</v>
      </c>
      <c r="I81" s="19">
        <f t="shared" si="120"/>
        <v>0</v>
      </c>
      <c r="J81" s="19">
        <f t="shared" si="121"/>
        <v>0</v>
      </c>
      <c r="K81" s="19">
        <f t="shared" si="122"/>
        <v>0</v>
      </c>
      <c r="L81" s="19">
        <v>0.00106</v>
      </c>
      <c r="M81" s="19">
        <f t="shared" si="123"/>
        <v>0.00106</v>
      </c>
      <c r="N81" s="41" t="s">
        <v>476</v>
      </c>
      <c r="Z81" s="19">
        <f t="shared" si="124"/>
        <v>0</v>
      </c>
      <c r="AB81" s="19">
        <f t="shared" si="125"/>
        <v>0</v>
      </c>
      <c r="AC81" s="19">
        <f t="shared" si="126"/>
        <v>0</v>
      </c>
      <c r="AD81" s="19">
        <f t="shared" si="127"/>
        <v>0</v>
      </c>
      <c r="AE81" s="19">
        <f t="shared" si="128"/>
        <v>0</v>
      </c>
      <c r="AF81" s="19">
        <f t="shared" si="129"/>
        <v>0</v>
      </c>
      <c r="AG81" s="19">
        <f t="shared" si="130"/>
        <v>0</v>
      </c>
      <c r="AH81" s="19">
        <f t="shared" si="131"/>
        <v>0</v>
      </c>
      <c r="AI81" s="51" t="s">
        <v>2</v>
      </c>
      <c r="AJ81" s="19">
        <f t="shared" si="132"/>
        <v>0</v>
      </c>
      <c r="AK81" s="19">
        <f t="shared" si="133"/>
        <v>0</v>
      </c>
      <c r="AL81" s="19">
        <f t="shared" si="134"/>
        <v>0</v>
      </c>
      <c r="AN81" s="19">
        <v>21</v>
      </c>
      <c r="AO81" s="19">
        <f>H81*0.873657466867825</f>
        <v>0</v>
      </c>
      <c r="AP81" s="19">
        <f>H81*(1-0.873657466867825)</f>
        <v>0</v>
      </c>
      <c r="AQ81" s="3" t="s">
        <v>575</v>
      </c>
      <c r="AV81" s="19">
        <f t="shared" si="135"/>
        <v>0</v>
      </c>
      <c r="AW81" s="19">
        <f t="shared" si="136"/>
        <v>0</v>
      </c>
      <c r="AX81" s="19">
        <f t="shared" si="137"/>
        <v>0</v>
      </c>
      <c r="AY81" s="3" t="s">
        <v>109</v>
      </c>
      <c r="AZ81" s="3" t="s">
        <v>210</v>
      </c>
      <c r="BA81" s="51" t="s">
        <v>503</v>
      </c>
      <c r="BC81" s="19">
        <f t="shared" si="138"/>
        <v>0</v>
      </c>
      <c r="BD81" s="19">
        <f t="shared" si="139"/>
        <v>0</v>
      </c>
      <c r="BE81" s="19">
        <v>0</v>
      </c>
      <c r="BF81" s="19">
        <f t="shared" si="140"/>
        <v>0.00106</v>
      </c>
      <c r="BH81" s="19">
        <f t="shared" si="141"/>
        <v>0</v>
      </c>
      <c r="BI81" s="19">
        <f t="shared" si="142"/>
        <v>0</v>
      </c>
      <c r="BJ81" s="19">
        <f t="shared" si="143"/>
        <v>0</v>
      </c>
      <c r="BK81" s="19"/>
      <c r="BL81" s="19">
        <v>734</v>
      </c>
    </row>
    <row r="82" spans="1:64" ht="15" customHeight="1">
      <c r="A82" s="26" t="s">
        <v>332</v>
      </c>
      <c r="B82" s="21" t="s">
        <v>2</v>
      </c>
      <c r="C82" s="21" t="s">
        <v>424</v>
      </c>
      <c r="D82" s="64" t="s">
        <v>409</v>
      </c>
      <c r="E82" s="64"/>
      <c r="F82" s="21" t="s">
        <v>139</v>
      </c>
      <c r="G82" s="19">
        <v>1</v>
      </c>
      <c r="H82" s="19">
        <v>0</v>
      </c>
      <c r="I82" s="19">
        <f t="shared" si="120"/>
        <v>0</v>
      </c>
      <c r="J82" s="19">
        <f t="shared" si="121"/>
        <v>0</v>
      </c>
      <c r="K82" s="19">
        <f t="shared" si="122"/>
        <v>0</v>
      </c>
      <c r="L82" s="19">
        <v>0.00025</v>
      </c>
      <c r="M82" s="19">
        <f t="shared" si="123"/>
        <v>0.00025</v>
      </c>
      <c r="N82" s="41" t="s">
        <v>476</v>
      </c>
      <c r="Z82" s="19">
        <f t="shared" si="124"/>
        <v>0</v>
      </c>
      <c r="AB82" s="19">
        <f t="shared" si="125"/>
        <v>0</v>
      </c>
      <c r="AC82" s="19">
        <f t="shared" si="126"/>
        <v>0</v>
      </c>
      <c r="AD82" s="19">
        <f t="shared" si="127"/>
        <v>0</v>
      </c>
      <c r="AE82" s="19">
        <f t="shared" si="128"/>
        <v>0</v>
      </c>
      <c r="AF82" s="19">
        <f t="shared" si="129"/>
        <v>0</v>
      </c>
      <c r="AG82" s="19">
        <f t="shared" si="130"/>
        <v>0</v>
      </c>
      <c r="AH82" s="19">
        <f t="shared" si="131"/>
        <v>0</v>
      </c>
      <c r="AI82" s="51" t="s">
        <v>2</v>
      </c>
      <c r="AJ82" s="19">
        <f t="shared" si="132"/>
        <v>0</v>
      </c>
      <c r="AK82" s="19">
        <f t="shared" si="133"/>
        <v>0</v>
      </c>
      <c r="AL82" s="19">
        <f t="shared" si="134"/>
        <v>0</v>
      </c>
      <c r="AN82" s="19">
        <v>21</v>
      </c>
      <c r="AO82" s="19">
        <f>H82*0.691067415730337</f>
        <v>0</v>
      </c>
      <c r="AP82" s="19">
        <f>H82*(1-0.691067415730337)</f>
        <v>0</v>
      </c>
      <c r="AQ82" s="3" t="s">
        <v>575</v>
      </c>
      <c r="AV82" s="19">
        <f t="shared" si="135"/>
        <v>0</v>
      </c>
      <c r="AW82" s="19">
        <f t="shared" si="136"/>
        <v>0</v>
      </c>
      <c r="AX82" s="19">
        <f t="shared" si="137"/>
        <v>0</v>
      </c>
      <c r="AY82" s="3" t="s">
        <v>109</v>
      </c>
      <c r="AZ82" s="3" t="s">
        <v>210</v>
      </c>
      <c r="BA82" s="51" t="s">
        <v>503</v>
      </c>
      <c r="BC82" s="19">
        <f t="shared" si="138"/>
        <v>0</v>
      </c>
      <c r="BD82" s="19">
        <f t="shared" si="139"/>
        <v>0</v>
      </c>
      <c r="BE82" s="19">
        <v>0</v>
      </c>
      <c r="BF82" s="19">
        <f t="shared" si="140"/>
        <v>0.00025</v>
      </c>
      <c r="BH82" s="19">
        <f t="shared" si="141"/>
        <v>0</v>
      </c>
      <c r="BI82" s="19">
        <f t="shared" si="142"/>
        <v>0</v>
      </c>
      <c r="BJ82" s="19">
        <f t="shared" si="143"/>
        <v>0</v>
      </c>
      <c r="BK82" s="19"/>
      <c r="BL82" s="19">
        <v>734</v>
      </c>
    </row>
    <row r="83" spans="1:64" ht="15" customHeight="1">
      <c r="A83" s="26" t="s">
        <v>259</v>
      </c>
      <c r="B83" s="21" t="s">
        <v>2</v>
      </c>
      <c r="C83" s="21" t="s">
        <v>233</v>
      </c>
      <c r="D83" s="64" t="s">
        <v>28</v>
      </c>
      <c r="E83" s="64"/>
      <c r="F83" s="21" t="s">
        <v>139</v>
      </c>
      <c r="G83" s="19">
        <v>1</v>
      </c>
      <c r="H83" s="19">
        <v>0</v>
      </c>
      <c r="I83" s="19">
        <f t="shared" si="120"/>
        <v>0</v>
      </c>
      <c r="J83" s="19">
        <f t="shared" si="121"/>
        <v>0</v>
      </c>
      <c r="K83" s="19">
        <f t="shared" si="122"/>
        <v>0</v>
      </c>
      <c r="L83" s="19">
        <v>0.00056</v>
      </c>
      <c r="M83" s="19">
        <f t="shared" si="123"/>
        <v>0.00056</v>
      </c>
      <c r="N83" s="41" t="s">
        <v>476</v>
      </c>
      <c r="Z83" s="19">
        <f t="shared" si="124"/>
        <v>0</v>
      </c>
      <c r="AB83" s="19">
        <f t="shared" si="125"/>
        <v>0</v>
      </c>
      <c r="AC83" s="19">
        <f t="shared" si="126"/>
        <v>0</v>
      </c>
      <c r="AD83" s="19">
        <f t="shared" si="127"/>
        <v>0</v>
      </c>
      <c r="AE83" s="19">
        <f t="shared" si="128"/>
        <v>0</v>
      </c>
      <c r="AF83" s="19">
        <f t="shared" si="129"/>
        <v>0</v>
      </c>
      <c r="AG83" s="19">
        <f t="shared" si="130"/>
        <v>0</v>
      </c>
      <c r="AH83" s="19">
        <f t="shared" si="131"/>
        <v>0</v>
      </c>
      <c r="AI83" s="51" t="s">
        <v>2</v>
      </c>
      <c r="AJ83" s="19">
        <f t="shared" si="132"/>
        <v>0</v>
      </c>
      <c r="AK83" s="19">
        <f t="shared" si="133"/>
        <v>0</v>
      </c>
      <c r="AL83" s="19">
        <f t="shared" si="134"/>
        <v>0</v>
      </c>
      <c r="AN83" s="19">
        <v>21</v>
      </c>
      <c r="AO83" s="19">
        <f>H83*0.810450928381963</f>
        <v>0</v>
      </c>
      <c r="AP83" s="19">
        <f>H83*(1-0.810450928381963)</f>
        <v>0</v>
      </c>
      <c r="AQ83" s="3" t="s">
        <v>575</v>
      </c>
      <c r="AV83" s="19">
        <f t="shared" si="135"/>
        <v>0</v>
      </c>
      <c r="AW83" s="19">
        <f t="shared" si="136"/>
        <v>0</v>
      </c>
      <c r="AX83" s="19">
        <f t="shared" si="137"/>
        <v>0</v>
      </c>
      <c r="AY83" s="3" t="s">
        <v>109</v>
      </c>
      <c r="AZ83" s="3" t="s">
        <v>210</v>
      </c>
      <c r="BA83" s="51" t="s">
        <v>503</v>
      </c>
      <c r="BC83" s="19">
        <f t="shared" si="138"/>
        <v>0</v>
      </c>
      <c r="BD83" s="19">
        <f t="shared" si="139"/>
        <v>0</v>
      </c>
      <c r="BE83" s="19">
        <v>0</v>
      </c>
      <c r="BF83" s="19">
        <f t="shared" si="140"/>
        <v>0.00056</v>
      </c>
      <c r="BH83" s="19">
        <f t="shared" si="141"/>
        <v>0</v>
      </c>
      <c r="BI83" s="19">
        <f t="shared" si="142"/>
        <v>0</v>
      </c>
      <c r="BJ83" s="19">
        <f t="shared" si="143"/>
        <v>0</v>
      </c>
      <c r="BK83" s="19"/>
      <c r="BL83" s="19">
        <v>734</v>
      </c>
    </row>
    <row r="84" spans="1:64" ht="15" customHeight="1">
      <c r="A84" s="26" t="s">
        <v>70</v>
      </c>
      <c r="B84" s="21" t="s">
        <v>2</v>
      </c>
      <c r="C84" s="21" t="s">
        <v>594</v>
      </c>
      <c r="D84" s="64" t="s">
        <v>228</v>
      </c>
      <c r="E84" s="64"/>
      <c r="F84" s="21" t="s">
        <v>139</v>
      </c>
      <c r="G84" s="19">
        <v>1</v>
      </c>
      <c r="H84" s="19">
        <v>0</v>
      </c>
      <c r="I84" s="19">
        <f t="shared" si="120"/>
        <v>0</v>
      </c>
      <c r="J84" s="19">
        <f t="shared" si="121"/>
        <v>0</v>
      </c>
      <c r="K84" s="19">
        <f t="shared" si="122"/>
        <v>0</v>
      </c>
      <c r="L84" s="19">
        <v>0.00084</v>
      </c>
      <c r="M84" s="19">
        <f t="shared" si="123"/>
        <v>0.00084</v>
      </c>
      <c r="N84" s="41" t="s">
        <v>476</v>
      </c>
      <c r="Z84" s="19">
        <f t="shared" si="124"/>
        <v>0</v>
      </c>
      <c r="AB84" s="19">
        <f t="shared" si="125"/>
        <v>0</v>
      </c>
      <c r="AC84" s="19">
        <f t="shared" si="126"/>
        <v>0</v>
      </c>
      <c r="AD84" s="19">
        <f t="shared" si="127"/>
        <v>0</v>
      </c>
      <c r="AE84" s="19">
        <f t="shared" si="128"/>
        <v>0</v>
      </c>
      <c r="AF84" s="19">
        <f t="shared" si="129"/>
        <v>0</v>
      </c>
      <c r="AG84" s="19">
        <f t="shared" si="130"/>
        <v>0</v>
      </c>
      <c r="AH84" s="19">
        <f t="shared" si="131"/>
        <v>0</v>
      </c>
      <c r="AI84" s="51" t="s">
        <v>2</v>
      </c>
      <c r="AJ84" s="19">
        <f t="shared" si="132"/>
        <v>0</v>
      </c>
      <c r="AK84" s="19">
        <f t="shared" si="133"/>
        <v>0</v>
      </c>
      <c r="AL84" s="19">
        <f t="shared" si="134"/>
        <v>0</v>
      </c>
      <c r="AN84" s="19">
        <v>21</v>
      </c>
      <c r="AO84" s="19">
        <f>H84*0.845508247789957</f>
        <v>0</v>
      </c>
      <c r="AP84" s="19">
        <f>H84*(1-0.845508247789957)</f>
        <v>0</v>
      </c>
      <c r="AQ84" s="3" t="s">
        <v>575</v>
      </c>
      <c r="AV84" s="19">
        <f t="shared" si="135"/>
        <v>0</v>
      </c>
      <c r="AW84" s="19">
        <f t="shared" si="136"/>
        <v>0</v>
      </c>
      <c r="AX84" s="19">
        <f t="shared" si="137"/>
        <v>0</v>
      </c>
      <c r="AY84" s="3" t="s">
        <v>109</v>
      </c>
      <c r="AZ84" s="3" t="s">
        <v>210</v>
      </c>
      <c r="BA84" s="51" t="s">
        <v>503</v>
      </c>
      <c r="BC84" s="19">
        <f t="shared" si="138"/>
        <v>0</v>
      </c>
      <c r="BD84" s="19">
        <f t="shared" si="139"/>
        <v>0</v>
      </c>
      <c r="BE84" s="19">
        <v>0</v>
      </c>
      <c r="BF84" s="19">
        <f t="shared" si="140"/>
        <v>0.00084</v>
      </c>
      <c r="BH84" s="19">
        <f t="shared" si="141"/>
        <v>0</v>
      </c>
      <c r="BI84" s="19">
        <f t="shared" si="142"/>
        <v>0</v>
      </c>
      <c r="BJ84" s="19">
        <f t="shared" si="143"/>
        <v>0</v>
      </c>
      <c r="BK84" s="19"/>
      <c r="BL84" s="19">
        <v>734</v>
      </c>
    </row>
    <row r="85" spans="1:64" ht="15" customHeight="1">
      <c r="A85" s="26" t="s">
        <v>410</v>
      </c>
      <c r="B85" s="21" t="s">
        <v>2</v>
      </c>
      <c r="C85" s="21" t="s">
        <v>143</v>
      </c>
      <c r="D85" s="64" t="s">
        <v>412</v>
      </c>
      <c r="E85" s="64"/>
      <c r="F85" s="21" t="s">
        <v>139</v>
      </c>
      <c r="G85" s="19">
        <v>1</v>
      </c>
      <c r="H85" s="19">
        <v>0</v>
      </c>
      <c r="I85" s="19">
        <f t="shared" si="120"/>
        <v>0</v>
      </c>
      <c r="J85" s="19">
        <f t="shared" si="121"/>
        <v>0</v>
      </c>
      <c r="K85" s="19">
        <f t="shared" si="122"/>
        <v>0</v>
      </c>
      <c r="L85" s="19">
        <v>0.00142</v>
      </c>
      <c r="M85" s="19">
        <f t="shared" si="123"/>
        <v>0.00142</v>
      </c>
      <c r="N85" s="41" t="s">
        <v>476</v>
      </c>
      <c r="Z85" s="19">
        <f t="shared" si="124"/>
        <v>0</v>
      </c>
      <c r="AB85" s="19">
        <f t="shared" si="125"/>
        <v>0</v>
      </c>
      <c r="AC85" s="19">
        <f t="shared" si="126"/>
        <v>0</v>
      </c>
      <c r="AD85" s="19">
        <f t="shared" si="127"/>
        <v>0</v>
      </c>
      <c r="AE85" s="19">
        <f t="shared" si="128"/>
        <v>0</v>
      </c>
      <c r="AF85" s="19">
        <f t="shared" si="129"/>
        <v>0</v>
      </c>
      <c r="AG85" s="19">
        <f t="shared" si="130"/>
        <v>0</v>
      </c>
      <c r="AH85" s="19">
        <f t="shared" si="131"/>
        <v>0</v>
      </c>
      <c r="AI85" s="51" t="s">
        <v>2</v>
      </c>
      <c r="AJ85" s="19">
        <f t="shared" si="132"/>
        <v>0</v>
      </c>
      <c r="AK85" s="19">
        <f t="shared" si="133"/>
        <v>0</v>
      </c>
      <c r="AL85" s="19">
        <f t="shared" si="134"/>
        <v>0</v>
      </c>
      <c r="AN85" s="19">
        <v>21</v>
      </c>
      <c r="AO85" s="19">
        <f>H85*0.88199642746764</f>
        <v>0</v>
      </c>
      <c r="AP85" s="19">
        <f>H85*(1-0.88199642746764)</f>
        <v>0</v>
      </c>
      <c r="AQ85" s="3" t="s">
        <v>575</v>
      </c>
      <c r="AV85" s="19">
        <f t="shared" si="135"/>
        <v>0</v>
      </c>
      <c r="AW85" s="19">
        <f t="shared" si="136"/>
        <v>0</v>
      </c>
      <c r="AX85" s="19">
        <f t="shared" si="137"/>
        <v>0</v>
      </c>
      <c r="AY85" s="3" t="s">
        <v>109</v>
      </c>
      <c r="AZ85" s="3" t="s">
        <v>210</v>
      </c>
      <c r="BA85" s="51" t="s">
        <v>503</v>
      </c>
      <c r="BC85" s="19">
        <f t="shared" si="138"/>
        <v>0</v>
      </c>
      <c r="BD85" s="19">
        <f t="shared" si="139"/>
        <v>0</v>
      </c>
      <c r="BE85" s="19">
        <v>0</v>
      </c>
      <c r="BF85" s="19">
        <f t="shared" si="140"/>
        <v>0.00142</v>
      </c>
      <c r="BH85" s="19">
        <f t="shared" si="141"/>
        <v>0</v>
      </c>
      <c r="BI85" s="19">
        <f t="shared" si="142"/>
        <v>0</v>
      </c>
      <c r="BJ85" s="19">
        <f t="shared" si="143"/>
        <v>0</v>
      </c>
      <c r="BK85" s="19"/>
      <c r="BL85" s="19">
        <v>734</v>
      </c>
    </row>
    <row r="86" spans="1:64" ht="15" customHeight="1">
      <c r="A86" s="26" t="s">
        <v>636</v>
      </c>
      <c r="B86" s="21" t="s">
        <v>2</v>
      </c>
      <c r="C86" s="21" t="s">
        <v>596</v>
      </c>
      <c r="D86" s="64" t="s">
        <v>552</v>
      </c>
      <c r="E86" s="64"/>
      <c r="F86" s="21" t="s">
        <v>139</v>
      </c>
      <c r="G86" s="19">
        <v>1</v>
      </c>
      <c r="H86" s="19">
        <v>0</v>
      </c>
      <c r="I86" s="19">
        <f t="shared" si="120"/>
        <v>0</v>
      </c>
      <c r="J86" s="19">
        <f t="shared" si="121"/>
        <v>0</v>
      </c>
      <c r="K86" s="19">
        <f t="shared" si="122"/>
        <v>0</v>
      </c>
      <c r="L86" s="19">
        <v>0.00213</v>
      </c>
      <c r="M86" s="19">
        <f t="shared" si="123"/>
        <v>0.00213</v>
      </c>
      <c r="N86" s="41" t="s">
        <v>476</v>
      </c>
      <c r="Z86" s="19">
        <f t="shared" si="124"/>
        <v>0</v>
      </c>
      <c r="AB86" s="19">
        <f t="shared" si="125"/>
        <v>0</v>
      </c>
      <c r="AC86" s="19">
        <f t="shared" si="126"/>
        <v>0</v>
      </c>
      <c r="AD86" s="19">
        <f t="shared" si="127"/>
        <v>0</v>
      </c>
      <c r="AE86" s="19">
        <f t="shared" si="128"/>
        <v>0</v>
      </c>
      <c r="AF86" s="19">
        <f t="shared" si="129"/>
        <v>0</v>
      </c>
      <c r="AG86" s="19">
        <f t="shared" si="130"/>
        <v>0</v>
      </c>
      <c r="AH86" s="19">
        <f t="shared" si="131"/>
        <v>0</v>
      </c>
      <c r="AI86" s="51" t="s">
        <v>2</v>
      </c>
      <c r="AJ86" s="19">
        <f t="shared" si="132"/>
        <v>0</v>
      </c>
      <c r="AK86" s="19">
        <f t="shared" si="133"/>
        <v>0</v>
      </c>
      <c r="AL86" s="19">
        <f t="shared" si="134"/>
        <v>0</v>
      </c>
      <c r="AN86" s="19">
        <v>21</v>
      </c>
      <c r="AO86" s="19">
        <f>H86*0.917746762589928</f>
        <v>0</v>
      </c>
      <c r="AP86" s="19">
        <f>H86*(1-0.917746762589928)</f>
        <v>0</v>
      </c>
      <c r="AQ86" s="3" t="s">
        <v>575</v>
      </c>
      <c r="AV86" s="19">
        <f t="shared" si="135"/>
        <v>0</v>
      </c>
      <c r="AW86" s="19">
        <f t="shared" si="136"/>
        <v>0</v>
      </c>
      <c r="AX86" s="19">
        <f t="shared" si="137"/>
        <v>0</v>
      </c>
      <c r="AY86" s="3" t="s">
        <v>109</v>
      </c>
      <c r="AZ86" s="3" t="s">
        <v>210</v>
      </c>
      <c r="BA86" s="51" t="s">
        <v>503</v>
      </c>
      <c r="BC86" s="19">
        <f t="shared" si="138"/>
        <v>0</v>
      </c>
      <c r="BD86" s="19">
        <f t="shared" si="139"/>
        <v>0</v>
      </c>
      <c r="BE86" s="19">
        <v>0</v>
      </c>
      <c r="BF86" s="19">
        <f t="shared" si="140"/>
        <v>0.00213</v>
      </c>
      <c r="BH86" s="19">
        <f t="shared" si="141"/>
        <v>0</v>
      </c>
      <c r="BI86" s="19">
        <f t="shared" si="142"/>
        <v>0</v>
      </c>
      <c r="BJ86" s="19">
        <f t="shared" si="143"/>
        <v>0</v>
      </c>
      <c r="BK86" s="19"/>
      <c r="BL86" s="19">
        <v>734</v>
      </c>
    </row>
    <row r="87" spans="1:64" ht="15" customHeight="1">
      <c r="A87" s="26" t="s">
        <v>130</v>
      </c>
      <c r="B87" s="21" t="s">
        <v>2</v>
      </c>
      <c r="C87" s="21" t="s">
        <v>216</v>
      </c>
      <c r="D87" s="64" t="s">
        <v>31</v>
      </c>
      <c r="E87" s="64"/>
      <c r="F87" s="21" t="s">
        <v>139</v>
      </c>
      <c r="G87" s="19">
        <v>16</v>
      </c>
      <c r="H87" s="19">
        <v>0</v>
      </c>
      <c r="I87" s="19">
        <f t="shared" si="120"/>
        <v>0</v>
      </c>
      <c r="J87" s="19">
        <f t="shared" si="121"/>
        <v>0</v>
      </c>
      <c r="K87" s="19">
        <f t="shared" si="122"/>
        <v>0</v>
      </c>
      <c r="L87" s="19">
        <v>0.00019</v>
      </c>
      <c r="M87" s="19">
        <f t="shared" si="123"/>
        <v>0.00304</v>
      </c>
      <c r="N87" s="41" t="s">
        <v>476</v>
      </c>
      <c r="Z87" s="19">
        <f t="shared" si="124"/>
        <v>0</v>
      </c>
      <c r="AB87" s="19">
        <f t="shared" si="125"/>
        <v>0</v>
      </c>
      <c r="AC87" s="19">
        <f t="shared" si="126"/>
        <v>0</v>
      </c>
      <c r="AD87" s="19">
        <f t="shared" si="127"/>
        <v>0</v>
      </c>
      <c r="AE87" s="19">
        <f t="shared" si="128"/>
        <v>0</v>
      </c>
      <c r="AF87" s="19">
        <f t="shared" si="129"/>
        <v>0</v>
      </c>
      <c r="AG87" s="19">
        <f t="shared" si="130"/>
        <v>0</v>
      </c>
      <c r="AH87" s="19">
        <f t="shared" si="131"/>
        <v>0</v>
      </c>
      <c r="AI87" s="51" t="s">
        <v>2</v>
      </c>
      <c r="AJ87" s="19">
        <f t="shared" si="132"/>
        <v>0</v>
      </c>
      <c r="AK87" s="19">
        <f t="shared" si="133"/>
        <v>0</v>
      </c>
      <c r="AL87" s="19">
        <f t="shared" si="134"/>
        <v>0</v>
      </c>
      <c r="AN87" s="19">
        <v>21</v>
      </c>
      <c r="AO87" s="19">
        <f>H87*0.852013422818792</f>
        <v>0</v>
      </c>
      <c r="AP87" s="19">
        <f>H87*(1-0.852013422818792)</f>
        <v>0</v>
      </c>
      <c r="AQ87" s="3" t="s">
        <v>575</v>
      </c>
      <c r="AV87" s="19">
        <f t="shared" si="135"/>
        <v>0</v>
      </c>
      <c r="AW87" s="19">
        <f t="shared" si="136"/>
        <v>0</v>
      </c>
      <c r="AX87" s="19">
        <f t="shared" si="137"/>
        <v>0</v>
      </c>
      <c r="AY87" s="3" t="s">
        <v>109</v>
      </c>
      <c r="AZ87" s="3" t="s">
        <v>210</v>
      </c>
      <c r="BA87" s="51" t="s">
        <v>503</v>
      </c>
      <c r="BC87" s="19">
        <f t="shared" si="138"/>
        <v>0</v>
      </c>
      <c r="BD87" s="19">
        <f t="shared" si="139"/>
        <v>0</v>
      </c>
      <c r="BE87" s="19">
        <v>0</v>
      </c>
      <c r="BF87" s="19">
        <f t="shared" si="140"/>
        <v>0.00304</v>
      </c>
      <c r="BH87" s="19">
        <f t="shared" si="141"/>
        <v>0</v>
      </c>
      <c r="BI87" s="19">
        <f t="shared" si="142"/>
        <v>0</v>
      </c>
      <c r="BJ87" s="19">
        <f t="shared" si="143"/>
        <v>0</v>
      </c>
      <c r="BK87" s="19"/>
      <c r="BL87" s="19">
        <v>734</v>
      </c>
    </row>
    <row r="88" spans="1:64" ht="15" customHeight="1">
      <c r="A88" s="26" t="s">
        <v>285</v>
      </c>
      <c r="B88" s="21" t="s">
        <v>2</v>
      </c>
      <c r="C88" s="21" t="s">
        <v>404</v>
      </c>
      <c r="D88" s="64" t="s">
        <v>605</v>
      </c>
      <c r="E88" s="64"/>
      <c r="F88" s="21" t="s">
        <v>139</v>
      </c>
      <c r="G88" s="19">
        <v>6</v>
      </c>
      <c r="H88" s="19">
        <v>0</v>
      </c>
      <c r="I88" s="19">
        <f t="shared" si="120"/>
        <v>0</v>
      </c>
      <c r="J88" s="19">
        <f t="shared" si="121"/>
        <v>0</v>
      </c>
      <c r="K88" s="19">
        <f t="shared" si="122"/>
        <v>0</v>
      </c>
      <c r="L88" s="19">
        <v>0.0001</v>
      </c>
      <c r="M88" s="19">
        <f t="shared" si="123"/>
        <v>0.0006000000000000001</v>
      </c>
      <c r="N88" s="41" t="s">
        <v>476</v>
      </c>
      <c r="Z88" s="19">
        <f t="shared" si="124"/>
        <v>0</v>
      </c>
      <c r="AB88" s="19">
        <f t="shared" si="125"/>
        <v>0</v>
      </c>
      <c r="AC88" s="19">
        <f t="shared" si="126"/>
        <v>0</v>
      </c>
      <c r="AD88" s="19">
        <f t="shared" si="127"/>
        <v>0</v>
      </c>
      <c r="AE88" s="19">
        <f t="shared" si="128"/>
        <v>0</v>
      </c>
      <c r="AF88" s="19">
        <f t="shared" si="129"/>
        <v>0</v>
      </c>
      <c r="AG88" s="19">
        <f t="shared" si="130"/>
        <v>0</v>
      </c>
      <c r="AH88" s="19">
        <f t="shared" si="131"/>
        <v>0</v>
      </c>
      <c r="AI88" s="51" t="s">
        <v>2</v>
      </c>
      <c r="AJ88" s="19">
        <f t="shared" si="132"/>
        <v>0</v>
      </c>
      <c r="AK88" s="19">
        <f t="shared" si="133"/>
        <v>0</v>
      </c>
      <c r="AL88" s="19">
        <f t="shared" si="134"/>
        <v>0</v>
      </c>
      <c r="AN88" s="19">
        <v>21</v>
      </c>
      <c r="AO88" s="19">
        <f>H88*0.889983305509182</f>
        <v>0</v>
      </c>
      <c r="AP88" s="19">
        <f>H88*(1-0.889983305509182)</f>
        <v>0</v>
      </c>
      <c r="AQ88" s="3" t="s">
        <v>575</v>
      </c>
      <c r="AV88" s="19">
        <f t="shared" si="135"/>
        <v>0</v>
      </c>
      <c r="AW88" s="19">
        <f t="shared" si="136"/>
        <v>0</v>
      </c>
      <c r="AX88" s="19">
        <f t="shared" si="137"/>
        <v>0</v>
      </c>
      <c r="AY88" s="3" t="s">
        <v>109</v>
      </c>
      <c r="AZ88" s="3" t="s">
        <v>210</v>
      </c>
      <c r="BA88" s="51" t="s">
        <v>503</v>
      </c>
      <c r="BC88" s="19">
        <f t="shared" si="138"/>
        <v>0</v>
      </c>
      <c r="BD88" s="19">
        <f t="shared" si="139"/>
        <v>0</v>
      </c>
      <c r="BE88" s="19">
        <v>0</v>
      </c>
      <c r="BF88" s="19">
        <f t="shared" si="140"/>
        <v>0.0006000000000000001</v>
      </c>
      <c r="BH88" s="19">
        <f t="shared" si="141"/>
        <v>0</v>
      </c>
      <c r="BI88" s="19">
        <f t="shared" si="142"/>
        <v>0</v>
      </c>
      <c r="BJ88" s="19">
        <f t="shared" si="143"/>
        <v>0</v>
      </c>
      <c r="BK88" s="19"/>
      <c r="BL88" s="19">
        <v>734</v>
      </c>
    </row>
    <row r="89" spans="1:64" ht="15" customHeight="1">
      <c r="A89" s="26" t="s">
        <v>633</v>
      </c>
      <c r="B89" s="21" t="s">
        <v>2</v>
      </c>
      <c r="C89" s="21" t="s">
        <v>380</v>
      </c>
      <c r="D89" s="64" t="s">
        <v>490</v>
      </c>
      <c r="E89" s="64"/>
      <c r="F89" s="21" t="s">
        <v>139</v>
      </c>
      <c r="G89" s="19">
        <v>1</v>
      </c>
      <c r="H89" s="19">
        <v>0</v>
      </c>
      <c r="I89" s="19">
        <f t="shared" si="120"/>
        <v>0</v>
      </c>
      <c r="J89" s="19">
        <f t="shared" si="121"/>
        <v>0</v>
      </c>
      <c r="K89" s="19">
        <f t="shared" si="122"/>
        <v>0</v>
      </c>
      <c r="L89" s="19">
        <v>0.00021</v>
      </c>
      <c r="M89" s="19">
        <f t="shared" si="123"/>
        <v>0.00021</v>
      </c>
      <c r="N89" s="41" t="s">
        <v>476</v>
      </c>
      <c r="Z89" s="19">
        <f t="shared" si="124"/>
        <v>0</v>
      </c>
      <c r="AB89" s="19">
        <f t="shared" si="125"/>
        <v>0</v>
      </c>
      <c r="AC89" s="19">
        <f t="shared" si="126"/>
        <v>0</v>
      </c>
      <c r="AD89" s="19">
        <f t="shared" si="127"/>
        <v>0</v>
      </c>
      <c r="AE89" s="19">
        <f t="shared" si="128"/>
        <v>0</v>
      </c>
      <c r="AF89" s="19">
        <f t="shared" si="129"/>
        <v>0</v>
      </c>
      <c r="AG89" s="19">
        <f t="shared" si="130"/>
        <v>0</v>
      </c>
      <c r="AH89" s="19">
        <f t="shared" si="131"/>
        <v>0</v>
      </c>
      <c r="AI89" s="51" t="s">
        <v>2</v>
      </c>
      <c r="AJ89" s="19">
        <f t="shared" si="132"/>
        <v>0</v>
      </c>
      <c r="AK89" s="19">
        <f t="shared" si="133"/>
        <v>0</v>
      </c>
      <c r="AL89" s="19">
        <f t="shared" si="134"/>
        <v>0</v>
      </c>
      <c r="AN89" s="19">
        <v>21</v>
      </c>
      <c r="AO89" s="19">
        <f>H89*0.849880136986301</f>
        <v>0</v>
      </c>
      <c r="AP89" s="19">
        <f>H89*(1-0.849880136986301)</f>
        <v>0</v>
      </c>
      <c r="AQ89" s="3" t="s">
        <v>575</v>
      </c>
      <c r="AV89" s="19">
        <f t="shared" si="135"/>
        <v>0</v>
      </c>
      <c r="AW89" s="19">
        <f t="shared" si="136"/>
        <v>0</v>
      </c>
      <c r="AX89" s="19">
        <f t="shared" si="137"/>
        <v>0</v>
      </c>
      <c r="AY89" s="3" t="s">
        <v>109</v>
      </c>
      <c r="AZ89" s="3" t="s">
        <v>210</v>
      </c>
      <c r="BA89" s="51" t="s">
        <v>503</v>
      </c>
      <c r="BC89" s="19">
        <f t="shared" si="138"/>
        <v>0</v>
      </c>
      <c r="BD89" s="19">
        <f t="shared" si="139"/>
        <v>0</v>
      </c>
      <c r="BE89" s="19">
        <v>0</v>
      </c>
      <c r="BF89" s="19">
        <f t="shared" si="140"/>
        <v>0.00021</v>
      </c>
      <c r="BH89" s="19">
        <f t="shared" si="141"/>
        <v>0</v>
      </c>
      <c r="BI89" s="19">
        <f t="shared" si="142"/>
        <v>0</v>
      </c>
      <c r="BJ89" s="19">
        <f t="shared" si="143"/>
        <v>0</v>
      </c>
      <c r="BK89" s="19"/>
      <c r="BL89" s="19">
        <v>734</v>
      </c>
    </row>
    <row r="90" spans="1:64" ht="15" customHeight="1">
      <c r="A90" s="26" t="s">
        <v>602</v>
      </c>
      <c r="B90" s="21" t="s">
        <v>2</v>
      </c>
      <c r="C90" s="21" t="s">
        <v>379</v>
      </c>
      <c r="D90" s="64" t="s">
        <v>354</v>
      </c>
      <c r="E90" s="64"/>
      <c r="F90" s="21" t="s">
        <v>139</v>
      </c>
      <c r="G90" s="19">
        <v>1</v>
      </c>
      <c r="H90" s="19">
        <v>0</v>
      </c>
      <c r="I90" s="19">
        <f t="shared" si="120"/>
        <v>0</v>
      </c>
      <c r="J90" s="19">
        <f t="shared" si="121"/>
        <v>0</v>
      </c>
      <c r="K90" s="19">
        <f t="shared" si="122"/>
        <v>0</v>
      </c>
      <c r="L90" s="19">
        <v>0.00034</v>
      </c>
      <c r="M90" s="19">
        <f t="shared" si="123"/>
        <v>0.00034</v>
      </c>
      <c r="N90" s="41" t="s">
        <v>476</v>
      </c>
      <c r="Z90" s="19">
        <f t="shared" si="124"/>
        <v>0</v>
      </c>
      <c r="AB90" s="19">
        <f t="shared" si="125"/>
        <v>0</v>
      </c>
      <c r="AC90" s="19">
        <f t="shared" si="126"/>
        <v>0</v>
      </c>
      <c r="AD90" s="19">
        <f t="shared" si="127"/>
        <v>0</v>
      </c>
      <c r="AE90" s="19">
        <f t="shared" si="128"/>
        <v>0</v>
      </c>
      <c r="AF90" s="19">
        <f t="shared" si="129"/>
        <v>0</v>
      </c>
      <c r="AG90" s="19">
        <f t="shared" si="130"/>
        <v>0</v>
      </c>
      <c r="AH90" s="19">
        <f t="shared" si="131"/>
        <v>0</v>
      </c>
      <c r="AI90" s="51" t="s">
        <v>2</v>
      </c>
      <c r="AJ90" s="19">
        <f t="shared" si="132"/>
        <v>0</v>
      </c>
      <c r="AK90" s="19">
        <f t="shared" si="133"/>
        <v>0</v>
      </c>
      <c r="AL90" s="19">
        <f t="shared" si="134"/>
        <v>0</v>
      </c>
      <c r="AN90" s="19">
        <v>21</v>
      </c>
      <c r="AO90" s="19">
        <f>H90*0.854260985352863</f>
        <v>0</v>
      </c>
      <c r="AP90" s="19">
        <f>H90*(1-0.854260985352863)</f>
        <v>0</v>
      </c>
      <c r="AQ90" s="3" t="s">
        <v>575</v>
      </c>
      <c r="AV90" s="19">
        <f t="shared" si="135"/>
        <v>0</v>
      </c>
      <c r="AW90" s="19">
        <f t="shared" si="136"/>
        <v>0</v>
      </c>
      <c r="AX90" s="19">
        <f t="shared" si="137"/>
        <v>0</v>
      </c>
      <c r="AY90" s="3" t="s">
        <v>109</v>
      </c>
      <c r="AZ90" s="3" t="s">
        <v>210</v>
      </c>
      <c r="BA90" s="51" t="s">
        <v>503</v>
      </c>
      <c r="BC90" s="19">
        <f t="shared" si="138"/>
        <v>0</v>
      </c>
      <c r="BD90" s="19">
        <f t="shared" si="139"/>
        <v>0</v>
      </c>
      <c r="BE90" s="19">
        <v>0</v>
      </c>
      <c r="BF90" s="19">
        <f t="shared" si="140"/>
        <v>0.00034</v>
      </c>
      <c r="BH90" s="19">
        <f t="shared" si="141"/>
        <v>0</v>
      </c>
      <c r="BI90" s="19">
        <f t="shared" si="142"/>
        <v>0</v>
      </c>
      <c r="BJ90" s="19">
        <f t="shared" si="143"/>
        <v>0</v>
      </c>
      <c r="BK90" s="19"/>
      <c r="BL90" s="19">
        <v>734</v>
      </c>
    </row>
    <row r="91" spans="1:64" ht="15" customHeight="1">
      <c r="A91" s="26" t="s">
        <v>7</v>
      </c>
      <c r="B91" s="21" t="s">
        <v>2</v>
      </c>
      <c r="C91" s="21" t="s">
        <v>91</v>
      </c>
      <c r="D91" s="64" t="s">
        <v>508</v>
      </c>
      <c r="E91" s="64"/>
      <c r="F91" s="21" t="s">
        <v>139</v>
      </c>
      <c r="G91" s="19">
        <v>2</v>
      </c>
      <c r="H91" s="19">
        <v>0</v>
      </c>
      <c r="I91" s="19">
        <f t="shared" si="120"/>
        <v>0</v>
      </c>
      <c r="J91" s="19">
        <f t="shared" si="121"/>
        <v>0</v>
      </c>
      <c r="K91" s="19">
        <f t="shared" si="122"/>
        <v>0</v>
      </c>
      <c r="L91" s="19">
        <v>0</v>
      </c>
      <c r="M91" s="19">
        <f t="shared" si="123"/>
        <v>0</v>
      </c>
      <c r="N91" s="41" t="s">
        <v>476</v>
      </c>
      <c r="Z91" s="19">
        <f t="shared" si="124"/>
        <v>0</v>
      </c>
      <c r="AB91" s="19">
        <f t="shared" si="125"/>
        <v>0</v>
      </c>
      <c r="AC91" s="19">
        <f t="shared" si="126"/>
        <v>0</v>
      </c>
      <c r="AD91" s="19">
        <f t="shared" si="127"/>
        <v>0</v>
      </c>
      <c r="AE91" s="19">
        <f t="shared" si="128"/>
        <v>0</v>
      </c>
      <c r="AF91" s="19">
        <f t="shared" si="129"/>
        <v>0</v>
      </c>
      <c r="AG91" s="19">
        <f t="shared" si="130"/>
        <v>0</v>
      </c>
      <c r="AH91" s="19">
        <f t="shared" si="131"/>
        <v>0</v>
      </c>
      <c r="AI91" s="51" t="s">
        <v>2</v>
      </c>
      <c r="AJ91" s="19">
        <f t="shared" si="132"/>
        <v>0</v>
      </c>
      <c r="AK91" s="19">
        <f t="shared" si="133"/>
        <v>0</v>
      </c>
      <c r="AL91" s="19">
        <f t="shared" si="134"/>
        <v>0</v>
      </c>
      <c r="AN91" s="19">
        <v>21</v>
      </c>
      <c r="AO91" s="19">
        <f>H91*0.0608560311284047</f>
        <v>0</v>
      </c>
      <c r="AP91" s="19">
        <f>H91*(1-0.0608560311284047)</f>
        <v>0</v>
      </c>
      <c r="AQ91" s="3" t="s">
        <v>575</v>
      </c>
      <c r="AV91" s="19">
        <f t="shared" si="135"/>
        <v>0</v>
      </c>
      <c r="AW91" s="19">
        <f t="shared" si="136"/>
        <v>0</v>
      </c>
      <c r="AX91" s="19">
        <f t="shared" si="137"/>
        <v>0</v>
      </c>
      <c r="AY91" s="3" t="s">
        <v>109</v>
      </c>
      <c r="AZ91" s="3" t="s">
        <v>210</v>
      </c>
      <c r="BA91" s="51" t="s">
        <v>503</v>
      </c>
      <c r="BC91" s="19">
        <f t="shared" si="138"/>
        <v>0</v>
      </c>
      <c r="BD91" s="19">
        <f t="shared" si="139"/>
        <v>0</v>
      </c>
      <c r="BE91" s="19">
        <v>0</v>
      </c>
      <c r="BF91" s="19">
        <f t="shared" si="140"/>
        <v>0</v>
      </c>
      <c r="BH91" s="19">
        <f t="shared" si="141"/>
        <v>0</v>
      </c>
      <c r="BI91" s="19">
        <f t="shared" si="142"/>
        <v>0</v>
      </c>
      <c r="BJ91" s="19">
        <f t="shared" si="143"/>
        <v>0</v>
      </c>
      <c r="BK91" s="19"/>
      <c r="BL91" s="19">
        <v>734</v>
      </c>
    </row>
    <row r="92" spans="1:64" ht="15" customHeight="1">
      <c r="A92" s="26" t="s">
        <v>90</v>
      </c>
      <c r="B92" s="21" t="s">
        <v>2</v>
      </c>
      <c r="C92" s="21" t="s">
        <v>559</v>
      </c>
      <c r="D92" s="64" t="s">
        <v>639</v>
      </c>
      <c r="E92" s="64"/>
      <c r="F92" s="21" t="s">
        <v>139</v>
      </c>
      <c r="G92" s="19">
        <v>2</v>
      </c>
      <c r="H92" s="19">
        <v>0</v>
      </c>
      <c r="I92" s="19">
        <f t="shared" si="120"/>
        <v>0</v>
      </c>
      <c r="J92" s="19">
        <f t="shared" si="121"/>
        <v>0</v>
      </c>
      <c r="K92" s="19">
        <f t="shared" si="122"/>
        <v>0</v>
      </c>
      <c r="L92" s="19">
        <v>0</v>
      </c>
      <c r="M92" s="19">
        <f t="shared" si="123"/>
        <v>0</v>
      </c>
      <c r="N92" s="41" t="s">
        <v>476</v>
      </c>
      <c r="Z92" s="19">
        <f t="shared" si="124"/>
        <v>0</v>
      </c>
      <c r="AB92" s="19">
        <f t="shared" si="125"/>
        <v>0</v>
      </c>
      <c r="AC92" s="19">
        <f t="shared" si="126"/>
        <v>0</v>
      </c>
      <c r="AD92" s="19">
        <f t="shared" si="127"/>
        <v>0</v>
      </c>
      <c r="AE92" s="19">
        <f t="shared" si="128"/>
        <v>0</v>
      </c>
      <c r="AF92" s="19">
        <f t="shared" si="129"/>
        <v>0</v>
      </c>
      <c r="AG92" s="19">
        <f t="shared" si="130"/>
        <v>0</v>
      </c>
      <c r="AH92" s="19">
        <f t="shared" si="131"/>
        <v>0</v>
      </c>
      <c r="AI92" s="51" t="s">
        <v>2</v>
      </c>
      <c r="AJ92" s="19">
        <f t="shared" si="132"/>
        <v>0</v>
      </c>
      <c r="AK92" s="19">
        <f t="shared" si="133"/>
        <v>0</v>
      </c>
      <c r="AL92" s="19">
        <f t="shared" si="134"/>
        <v>0</v>
      </c>
      <c r="AN92" s="19">
        <v>21</v>
      </c>
      <c r="AO92" s="19">
        <f>H92*0.0715211970074813</f>
        <v>0</v>
      </c>
      <c r="AP92" s="19">
        <f>H92*(1-0.0715211970074813)</f>
        <v>0</v>
      </c>
      <c r="AQ92" s="3" t="s">
        <v>575</v>
      </c>
      <c r="AV92" s="19">
        <f t="shared" si="135"/>
        <v>0</v>
      </c>
      <c r="AW92" s="19">
        <f t="shared" si="136"/>
        <v>0</v>
      </c>
      <c r="AX92" s="19">
        <f t="shared" si="137"/>
        <v>0</v>
      </c>
      <c r="AY92" s="3" t="s">
        <v>109</v>
      </c>
      <c r="AZ92" s="3" t="s">
        <v>210</v>
      </c>
      <c r="BA92" s="51" t="s">
        <v>503</v>
      </c>
      <c r="BC92" s="19">
        <f t="shared" si="138"/>
        <v>0</v>
      </c>
      <c r="BD92" s="19">
        <f t="shared" si="139"/>
        <v>0</v>
      </c>
      <c r="BE92" s="19">
        <v>0</v>
      </c>
      <c r="BF92" s="19">
        <f t="shared" si="140"/>
        <v>0</v>
      </c>
      <c r="BH92" s="19">
        <f t="shared" si="141"/>
        <v>0</v>
      </c>
      <c r="BI92" s="19">
        <f t="shared" si="142"/>
        <v>0</v>
      </c>
      <c r="BJ92" s="19">
        <f t="shared" si="143"/>
        <v>0</v>
      </c>
      <c r="BK92" s="19"/>
      <c r="BL92" s="19">
        <v>734</v>
      </c>
    </row>
    <row r="93" spans="1:64" ht="15" customHeight="1">
      <c r="A93" s="26" t="s">
        <v>119</v>
      </c>
      <c r="B93" s="21" t="s">
        <v>2</v>
      </c>
      <c r="C93" s="21" t="s">
        <v>97</v>
      </c>
      <c r="D93" s="64" t="s">
        <v>473</v>
      </c>
      <c r="E93" s="64"/>
      <c r="F93" s="21" t="s">
        <v>139</v>
      </c>
      <c r="G93" s="19">
        <v>2</v>
      </c>
      <c r="H93" s="19">
        <v>0</v>
      </c>
      <c r="I93" s="19">
        <f t="shared" si="120"/>
        <v>0</v>
      </c>
      <c r="J93" s="19">
        <f t="shared" si="121"/>
        <v>0</v>
      </c>
      <c r="K93" s="19">
        <f t="shared" si="122"/>
        <v>0</v>
      </c>
      <c r="L93" s="19">
        <v>0</v>
      </c>
      <c r="M93" s="19">
        <f t="shared" si="123"/>
        <v>0</v>
      </c>
      <c r="N93" s="41" t="s">
        <v>476</v>
      </c>
      <c r="Z93" s="19">
        <f t="shared" si="124"/>
        <v>0</v>
      </c>
      <c r="AB93" s="19">
        <f t="shared" si="125"/>
        <v>0</v>
      </c>
      <c r="AC93" s="19">
        <f t="shared" si="126"/>
        <v>0</v>
      </c>
      <c r="AD93" s="19">
        <f t="shared" si="127"/>
        <v>0</v>
      </c>
      <c r="AE93" s="19">
        <f t="shared" si="128"/>
        <v>0</v>
      </c>
      <c r="AF93" s="19">
        <f t="shared" si="129"/>
        <v>0</v>
      </c>
      <c r="AG93" s="19">
        <f t="shared" si="130"/>
        <v>0</v>
      </c>
      <c r="AH93" s="19">
        <f t="shared" si="131"/>
        <v>0</v>
      </c>
      <c r="AI93" s="51" t="s">
        <v>2</v>
      </c>
      <c r="AJ93" s="19">
        <f t="shared" si="132"/>
        <v>0</v>
      </c>
      <c r="AK93" s="19">
        <f t="shared" si="133"/>
        <v>0</v>
      </c>
      <c r="AL93" s="19">
        <f t="shared" si="134"/>
        <v>0</v>
      </c>
      <c r="AN93" s="19">
        <v>21</v>
      </c>
      <c r="AO93" s="19">
        <f>H93*0.0453913043478261</f>
        <v>0</v>
      </c>
      <c r="AP93" s="19">
        <f>H93*(1-0.0453913043478261)</f>
        <v>0</v>
      </c>
      <c r="AQ93" s="3" t="s">
        <v>575</v>
      </c>
      <c r="AV93" s="19">
        <f t="shared" si="135"/>
        <v>0</v>
      </c>
      <c r="AW93" s="19">
        <f t="shared" si="136"/>
        <v>0</v>
      </c>
      <c r="AX93" s="19">
        <f t="shared" si="137"/>
        <v>0</v>
      </c>
      <c r="AY93" s="3" t="s">
        <v>109</v>
      </c>
      <c r="AZ93" s="3" t="s">
        <v>210</v>
      </c>
      <c r="BA93" s="51" t="s">
        <v>503</v>
      </c>
      <c r="BC93" s="19">
        <f t="shared" si="138"/>
        <v>0</v>
      </c>
      <c r="BD93" s="19">
        <f t="shared" si="139"/>
        <v>0</v>
      </c>
      <c r="BE93" s="19">
        <v>0</v>
      </c>
      <c r="BF93" s="19">
        <f t="shared" si="140"/>
        <v>0</v>
      </c>
      <c r="BH93" s="19">
        <f t="shared" si="141"/>
        <v>0</v>
      </c>
      <c r="BI93" s="19">
        <f t="shared" si="142"/>
        <v>0</v>
      </c>
      <c r="BJ93" s="19">
        <f t="shared" si="143"/>
        <v>0</v>
      </c>
      <c r="BK93" s="19"/>
      <c r="BL93" s="19">
        <v>734</v>
      </c>
    </row>
    <row r="94" spans="1:64" ht="15" customHeight="1">
      <c r="A94" s="26" t="s">
        <v>454</v>
      </c>
      <c r="B94" s="21" t="s">
        <v>2</v>
      </c>
      <c r="C94" s="21" t="s">
        <v>106</v>
      </c>
      <c r="D94" s="64" t="s">
        <v>290</v>
      </c>
      <c r="E94" s="64"/>
      <c r="F94" s="21" t="s">
        <v>139</v>
      </c>
      <c r="G94" s="19">
        <v>3</v>
      </c>
      <c r="H94" s="19">
        <v>0</v>
      </c>
      <c r="I94" s="19">
        <f t="shared" si="120"/>
        <v>0</v>
      </c>
      <c r="J94" s="19">
        <f t="shared" si="121"/>
        <v>0</v>
      </c>
      <c r="K94" s="19">
        <f t="shared" si="122"/>
        <v>0</v>
      </c>
      <c r="L94" s="19">
        <v>0.00252</v>
      </c>
      <c r="M94" s="19">
        <f t="shared" si="123"/>
        <v>0.007560000000000001</v>
      </c>
      <c r="N94" s="41" t="s">
        <v>476</v>
      </c>
      <c r="Z94" s="19">
        <f t="shared" si="124"/>
        <v>0</v>
      </c>
      <c r="AB94" s="19">
        <f t="shared" si="125"/>
        <v>0</v>
      </c>
      <c r="AC94" s="19">
        <f t="shared" si="126"/>
        <v>0</v>
      </c>
      <c r="AD94" s="19">
        <f t="shared" si="127"/>
        <v>0</v>
      </c>
      <c r="AE94" s="19">
        <f t="shared" si="128"/>
        <v>0</v>
      </c>
      <c r="AF94" s="19">
        <f t="shared" si="129"/>
        <v>0</v>
      </c>
      <c r="AG94" s="19">
        <f t="shared" si="130"/>
        <v>0</v>
      </c>
      <c r="AH94" s="19">
        <f t="shared" si="131"/>
        <v>0</v>
      </c>
      <c r="AI94" s="51" t="s">
        <v>2</v>
      </c>
      <c r="AJ94" s="19">
        <f t="shared" si="132"/>
        <v>0</v>
      </c>
      <c r="AK94" s="19">
        <f t="shared" si="133"/>
        <v>0</v>
      </c>
      <c r="AL94" s="19">
        <f t="shared" si="134"/>
        <v>0</v>
      </c>
      <c r="AN94" s="19">
        <v>21</v>
      </c>
      <c r="AO94" s="19">
        <f>H94*0.91168905950096</f>
        <v>0</v>
      </c>
      <c r="AP94" s="19">
        <f>H94*(1-0.91168905950096)</f>
        <v>0</v>
      </c>
      <c r="AQ94" s="3" t="s">
        <v>575</v>
      </c>
      <c r="AV94" s="19">
        <f t="shared" si="135"/>
        <v>0</v>
      </c>
      <c r="AW94" s="19">
        <f t="shared" si="136"/>
        <v>0</v>
      </c>
      <c r="AX94" s="19">
        <f t="shared" si="137"/>
        <v>0</v>
      </c>
      <c r="AY94" s="3" t="s">
        <v>109</v>
      </c>
      <c r="AZ94" s="3" t="s">
        <v>210</v>
      </c>
      <c r="BA94" s="51" t="s">
        <v>503</v>
      </c>
      <c r="BC94" s="19">
        <f t="shared" si="138"/>
        <v>0</v>
      </c>
      <c r="BD94" s="19">
        <f t="shared" si="139"/>
        <v>0</v>
      </c>
      <c r="BE94" s="19">
        <v>0</v>
      </c>
      <c r="BF94" s="19">
        <f t="shared" si="140"/>
        <v>0.007560000000000001</v>
      </c>
      <c r="BH94" s="19">
        <f t="shared" si="141"/>
        <v>0</v>
      </c>
      <c r="BI94" s="19">
        <f t="shared" si="142"/>
        <v>0</v>
      </c>
      <c r="BJ94" s="19">
        <f t="shared" si="143"/>
        <v>0</v>
      </c>
      <c r="BK94" s="19"/>
      <c r="BL94" s="19">
        <v>734</v>
      </c>
    </row>
    <row r="95" spans="1:64" ht="15" customHeight="1">
      <c r="A95" s="26" t="s">
        <v>47</v>
      </c>
      <c r="B95" s="21" t="s">
        <v>2</v>
      </c>
      <c r="C95" s="21" t="s">
        <v>106</v>
      </c>
      <c r="D95" s="64" t="s">
        <v>30</v>
      </c>
      <c r="E95" s="64"/>
      <c r="F95" s="21" t="s">
        <v>139</v>
      </c>
      <c r="G95" s="19">
        <v>1</v>
      </c>
      <c r="H95" s="19">
        <v>0</v>
      </c>
      <c r="I95" s="19">
        <f t="shared" si="120"/>
        <v>0</v>
      </c>
      <c r="J95" s="19">
        <f t="shared" si="121"/>
        <v>0</v>
      </c>
      <c r="K95" s="19">
        <f t="shared" si="122"/>
        <v>0</v>
      </c>
      <c r="L95" s="19">
        <v>0.00252</v>
      </c>
      <c r="M95" s="19">
        <f t="shared" si="123"/>
        <v>0.00252</v>
      </c>
      <c r="N95" s="41" t="s">
        <v>476</v>
      </c>
      <c r="Z95" s="19">
        <f t="shared" si="124"/>
        <v>0</v>
      </c>
      <c r="AB95" s="19">
        <f t="shared" si="125"/>
        <v>0</v>
      </c>
      <c r="AC95" s="19">
        <f t="shared" si="126"/>
        <v>0</v>
      </c>
      <c r="AD95" s="19">
        <f t="shared" si="127"/>
        <v>0</v>
      </c>
      <c r="AE95" s="19">
        <f t="shared" si="128"/>
        <v>0</v>
      </c>
      <c r="AF95" s="19">
        <f t="shared" si="129"/>
        <v>0</v>
      </c>
      <c r="AG95" s="19">
        <f t="shared" si="130"/>
        <v>0</v>
      </c>
      <c r="AH95" s="19">
        <f t="shared" si="131"/>
        <v>0</v>
      </c>
      <c r="AI95" s="51" t="s">
        <v>2</v>
      </c>
      <c r="AJ95" s="19">
        <f t="shared" si="132"/>
        <v>0</v>
      </c>
      <c r="AK95" s="19">
        <f t="shared" si="133"/>
        <v>0</v>
      </c>
      <c r="AL95" s="19">
        <f t="shared" si="134"/>
        <v>0</v>
      </c>
      <c r="AN95" s="19">
        <v>21</v>
      </c>
      <c r="AO95" s="19">
        <f>H95*0.91168905950096</f>
        <v>0</v>
      </c>
      <c r="AP95" s="19">
        <f>H95*(1-0.91168905950096)</f>
        <v>0</v>
      </c>
      <c r="AQ95" s="3" t="s">
        <v>575</v>
      </c>
      <c r="AV95" s="19">
        <f t="shared" si="135"/>
        <v>0</v>
      </c>
      <c r="AW95" s="19">
        <f t="shared" si="136"/>
        <v>0</v>
      </c>
      <c r="AX95" s="19">
        <f t="shared" si="137"/>
        <v>0</v>
      </c>
      <c r="AY95" s="3" t="s">
        <v>109</v>
      </c>
      <c r="AZ95" s="3" t="s">
        <v>210</v>
      </c>
      <c r="BA95" s="51" t="s">
        <v>503</v>
      </c>
      <c r="BC95" s="19">
        <f t="shared" si="138"/>
        <v>0</v>
      </c>
      <c r="BD95" s="19">
        <f t="shared" si="139"/>
        <v>0</v>
      </c>
      <c r="BE95" s="19">
        <v>0</v>
      </c>
      <c r="BF95" s="19">
        <f t="shared" si="140"/>
        <v>0.00252</v>
      </c>
      <c r="BH95" s="19">
        <f t="shared" si="141"/>
        <v>0</v>
      </c>
      <c r="BI95" s="19">
        <f t="shared" si="142"/>
        <v>0</v>
      </c>
      <c r="BJ95" s="19">
        <f t="shared" si="143"/>
        <v>0</v>
      </c>
      <c r="BK95" s="19"/>
      <c r="BL95" s="19">
        <v>734</v>
      </c>
    </row>
    <row r="96" spans="1:64" ht="15" customHeight="1">
      <c r="A96" s="26" t="s">
        <v>448</v>
      </c>
      <c r="B96" s="21" t="s">
        <v>2</v>
      </c>
      <c r="C96" s="21" t="s">
        <v>218</v>
      </c>
      <c r="D96" s="64" t="s">
        <v>265</v>
      </c>
      <c r="E96" s="64"/>
      <c r="F96" s="21" t="s">
        <v>139</v>
      </c>
      <c r="G96" s="19">
        <v>10</v>
      </c>
      <c r="H96" s="19">
        <v>0</v>
      </c>
      <c r="I96" s="19">
        <f t="shared" si="120"/>
        <v>0</v>
      </c>
      <c r="J96" s="19">
        <f t="shared" si="121"/>
        <v>0</v>
      </c>
      <c r="K96" s="19">
        <f t="shared" si="122"/>
        <v>0</v>
      </c>
      <c r="L96" s="19">
        <v>0.00073</v>
      </c>
      <c r="M96" s="19">
        <f t="shared" si="123"/>
        <v>0.007299999999999999</v>
      </c>
      <c r="N96" s="41" t="s">
        <v>476</v>
      </c>
      <c r="Z96" s="19">
        <f t="shared" si="124"/>
        <v>0</v>
      </c>
      <c r="AB96" s="19">
        <f t="shared" si="125"/>
        <v>0</v>
      </c>
      <c r="AC96" s="19">
        <f t="shared" si="126"/>
        <v>0</v>
      </c>
      <c r="AD96" s="19">
        <f t="shared" si="127"/>
        <v>0</v>
      </c>
      <c r="AE96" s="19">
        <f t="shared" si="128"/>
        <v>0</v>
      </c>
      <c r="AF96" s="19">
        <f t="shared" si="129"/>
        <v>0</v>
      </c>
      <c r="AG96" s="19">
        <f t="shared" si="130"/>
        <v>0</v>
      </c>
      <c r="AH96" s="19">
        <f t="shared" si="131"/>
        <v>0</v>
      </c>
      <c r="AI96" s="51" t="s">
        <v>2</v>
      </c>
      <c r="AJ96" s="19">
        <f t="shared" si="132"/>
        <v>0</v>
      </c>
      <c r="AK96" s="19">
        <f t="shared" si="133"/>
        <v>0</v>
      </c>
      <c r="AL96" s="19">
        <f t="shared" si="134"/>
        <v>0</v>
      </c>
      <c r="AN96" s="19">
        <v>21</v>
      </c>
      <c r="AO96" s="19">
        <f>H96*0.64736319448074</f>
        <v>0</v>
      </c>
      <c r="AP96" s="19">
        <f>H96*(1-0.64736319448074)</f>
        <v>0</v>
      </c>
      <c r="AQ96" s="3" t="s">
        <v>575</v>
      </c>
      <c r="AV96" s="19">
        <f t="shared" si="135"/>
        <v>0</v>
      </c>
      <c r="AW96" s="19">
        <f t="shared" si="136"/>
        <v>0</v>
      </c>
      <c r="AX96" s="19">
        <f t="shared" si="137"/>
        <v>0</v>
      </c>
      <c r="AY96" s="3" t="s">
        <v>109</v>
      </c>
      <c r="AZ96" s="3" t="s">
        <v>210</v>
      </c>
      <c r="BA96" s="51" t="s">
        <v>503</v>
      </c>
      <c r="BC96" s="19">
        <f t="shared" si="138"/>
        <v>0</v>
      </c>
      <c r="BD96" s="19">
        <f t="shared" si="139"/>
        <v>0</v>
      </c>
      <c r="BE96" s="19">
        <v>0</v>
      </c>
      <c r="BF96" s="19">
        <f t="shared" si="140"/>
        <v>0.007299999999999999</v>
      </c>
      <c r="BH96" s="19">
        <f t="shared" si="141"/>
        <v>0</v>
      </c>
      <c r="BI96" s="19">
        <f t="shared" si="142"/>
        <v>0</v>
      </c>
      <c r="BJ96" s="19">
        <f t="shared" si="143"/>
        <v>0</v>
      </c>
      <c r="BK96" s="19"/>
      <c r="BL96" s="19">
        <v>734</v>
      </c>
    </row>
    <row r="97" spans="1:64" ht="15" customHeight="1">
      <c r="A97" s="26" t="s">
        <v>350</v>
      </c>
      <c r="B97" s="21" t="s">
        <v>2</v>
      </c>
      <c r="C97" s="21" t="s">
        <v>302</v>
      </c>
      <c r="D97" s="64" t="s">
        <v>403</v>
      </c>
      <c r="E97" s="64"/>
      <c r="F97" s="21" t="s">
        <v>139</v>
      </c>
      <c r="G97" s="19">
        <v>10</v>
      </c>
      <c r="H97" s="19">
        <v>0</v>
      </c>
      <c r="I97" s="19">
        <f t="shared" si="120"/>
        <v>0</v>
      </c>
      <c r="J97" s="19">
        <f t="shared" si="121"/>
        <v>0</v>
      </c>
      <c r="K97" s="19">
        <f t="shared" si="122"/>
        <v>0</v>
      </c>
      <c r="L97" s="19">
        <v>0.00297</v>
      </c>
      <c r="M97" s="19">
        <f t="shared" si="123"/>
        <v>0.0297</v>
      </c>
      <c r="N97" s="41" t="s">
        <v>476</v>
      </c>
      <c r="Z97" s="19">
        <f t="shared" si="124"/>
        <v>0</v>
      </c>
      <c r="AB97" s="19">
        <f t="shared" si="125"/>
        <v>0</v>
      </c>
      <c r="AC97" s="19">
        <f t="shared" si="126"/>
        <v>0</v>
      </c>
      <c r="AD97" s="19">
        <f t="shared" si="127"/>
        <v>0</v>
      </c>
      <c r="AE97" s="19">
        <f t="shared" si="128"/>
        <v>0</v>
      </c>
      <c r="AF97" s="19">
        <f t="shared" si="129"/>
        <v>0</v>
      </c>
      <c r="AG97" s="19">
        <f t="shared" si="130"/>
        <v>0</v>
      </c>
      <c r="AH97" s="19">
        <f t="shared" si="131"/>
        <v>0</v>
      </c>
      <c r="AI97" s="51" t="s">
        <v>2</v>
      </c>
      <c r="AJ97" s="19">
        <f t="shared" si="132"/>
        <v>0</v>
      </c>
      <c r="AK97" s="19">
        <f t="shared" si="133"/>
        <v>0</v>
      </c>
      <c r="AL97" s="19">
        <f t="shared" si="134"/>
        <v>0</v>
      </c>
      <c r="AN97" s="19">
        <v>21</v>
      </c>
      <c r="AO97" s="19">
        <f>H97*0.381707530647986</f>
        <v>0</v>
      </c>
      <c r="AP97" s="19">
        <f>H97*(1-0.381707530647986)</f>
        <v>0</v>
      </c>
      <c r="AQ97" s="3" t="s">
        <v>575</v>
      </c>
      <c r="AV97" s="19">
        <f t="shared" si="135"/>
        <v>0</v>
      </c>
      <c r="AW97" s="19">
        <f t="shared" si="136"/>
        <v>0</v>
      </c>
      <c r="AX97" s="19">
        <f t="shared" si="137"/>
        <v>0</v>
      </c>
      <c r="AY97" s="3" t="s">
        <v>109</v>
      </c>
      <c r="AZ97" s="3" t="s">
        <v>210</v>
      </c>
      <c r="BA97" s="51" t="s">
        <v>503</v>
      </c>
      <c r="BC97" s="19">
        <f t="shared" si="138"/>
        <v>0</v>
      </c>
      <c r="BD97" s="19">
        <f t="shared" si="139"/>
        <v>0</v>
      </c>
      <c r="BE97" s="19">
        <v>0</v>
      </c>
      <c r="BF97" s="19">
        <f t="shared" si="140"/>
        <v>0.0297</v>
      </c>
      <c r="BH97" s="19">
        <f t="shared" si="141"/>
        <v>0</v>
      </c>
      <c r="BI97" s="19">
        <f t="shared" si="142"/>
        <v>0</v>
      </c>
      <c r="BJ97" s="19">
        <f t="shared" si="143"/>
        <v>0</v>
      </c>
      <c r="BK97" s="19"/>
      <c r="BL97" s="19">
        <v>734</v>
      </c>
    </row>
    <row r="98" spans="1:64" ht="15" customHeight="1">
      <c r="A98" s="26" t="s">
        <v>581</v>
      </c>
      <c r="B98" s="21" t="s">
        <v>2</v>
      </c>
      <c r="C98" s="21" t="s">
        <v>302</v>
      </c>
      <c r="D98" s="64" t="s">
        <v>497</v>
      </c>
      <c r="E98" s="64"/>
      <c r="F98" s="21" t="s">
        <v>139</v>
      </c>
      <c r="G98" s="19">
        <v>8</v>
      </c>
      <c r="H98" s="19">
        <v>0</v>
      </c>
      <c r="I98" s="19">
        <f t="shared" si="120"/>
        <v>0</v>
      </c>
      <c r="J98" s="19">
        <f t="shared" si="121"/>
        <v>0</v>
      </c>
      <c r="K98" s="19">
        <f t="shared" si="122"/>
        <v>0</v>
      </c>
      <c r="L98" s="19">
        <v>0.00297</v>
      </c>
      <c r="M98" s="19">
        <f t="shared" si="123"/>
        <v>0.02376</v>
      </c>
      <c r="N98" s="41" t="s">
        <v>476</v>
      </c>
      <c r="Z98" s="19">
        <f t="shared" si="124"/>
        <v>0</v>
      </c>
      <c r="AB98" s="19">
        <f t="shared" si="125"/>
        <v>0</v>
      </c>
      <c r="AC98" s="19">
        <f t="shared" si="126"/>
        <v>0</v>
      </c>
      <c r="AD98" s="19">
        <f t="shared" si="127"/>
        <v>0</v>
      </c>
      <c r="AE98" s="19">
        <f t="shared" si="128"/>
        <v>0</v>
      </c>
      <c r="AF98" s="19">
        <f t="shared" si="129"/>
        <v>0</v>
      </c>
      <c r="AG98" s="19">
        <f t="shared" si="130"/>
        <v>0</v>
      </c>
      <c r="AH98" s="19">
        <f t="shared" si="131"/>
        <v>0</v>
      </c>
      <c r="AI98" s="51" t="s">
        <v>2</v>
      </c>
      <c r="AJ98" s="19">
        <f t="shared" si="132"/>
        <v>0</v>
      </c>
      <c r="AK98" s="19">
        <f t="shared" si="133"/>
        <v>0</v>
      </c>
      <c r="AL98" s="19">
        <f t="shared" si="134"/>
        <v>0</v>
      </c>
      <c r="AN98" s="19">
        <v>21</v>
      </c>
      <c r="AO98" s="19">
        <f>H98*0.381707530647986</f>
        <v>0</v>
      </c>
      <c r="AP98" s="19">
        <f>H98*(1-0.381707530647986)</f>
        <v>0</v>
      </c>
      <c r="AQ98" s="3" t="s">
        <v>575</v>
      </c>
      <c r="AV98" s="19">
        <f t="shared" si="135"/>
        <v>0</v>
      </c>
      <c r="AW98" s="19">
        <f t="shared" si="136"/>
        <v>0</v>
      </c>
      <c r="AX98" s="19">
        <f t="shared" si="137"/>
        <v>0</v>
      </c>
      <c r="AY98" s="3" t="s">
        <v>109</v>
      </c>
      <c r="AZ98" s="3" t="s">
        <v>210</v>
      </c>
      <c r="BA98" s="51" t="s">
        <v>503</v>
      </c>
      <c r="BC98" s="19">
        <f t="shared" si="138"/>
        <v>0</v>
      </c>
      <c r="BD98" s="19">
        <f t="shared" si="139"/>
        <v>0</v>
      </c>
      <c r="BE98" s="19">
        <v>0</v>
      </c>
      <c r="BF98" s="19">
        <f t="shared" si="140"/>
        <v>0.02376</v>
      </c>
      <c r="BH98" s="19">
        <f t="shared" si="141"/>
        <v>0</v>
      </c>
      <c r="BI98" s="19">
        <f t="shared" si="142"/>
        <v>0</v>
      </c>
      <c r="BJ98" s="19">
        <f t="shared" si="143"/>
        <v>0</v>
      </c>
      <c r="BK98" s="19"/>
      <c r="BL98" s="19">
        <v>734</v>
      </c>
    </row>
    <row r="99" spans="1:64" ht="15" customHeight="1">
      <c r="A99" s="26" t="s">
        <v>522</v>
      </c>
      <c r="B99" s="21" t="s">
        <v>2</v>
      </c>
      <c r="C99" s="21" t="s">
        <v>302</v>
      </c>
      <c r="D99" s="64" t="s">
        <v>214</v>
      </c>
      <c r="E99" s="64"/>
      <c r="F99" s="21" t="s">
        <v>139</v>
      </c>
      <c r="G99" s="19">
        <v>2</v>
      </c>
      <c r="H99" s="19">
        <v>0</v>
      </c>
      <c r="I99" s="19">
        <f t="shared" si="120"/>
        <v>0</v>
      </c>
      <c r="J99" s="19">
        <f t="shared" si="121"/>
        <v>0</v>
      </c>
      <c r="K99" s="19">
        <f t="shared" si="122"/>
        <v>0</v>
      </c>
      <c r="L99" s="19">
        <v>0.00297</v>
      </c>
      <c r="M99" s="19">
        <f t="shared" si="123"/>
        <v>0.00594</v>
      </c>
      <c r="N99" s="41" t="s">
        <v>476</v>
      </c>
      <c r="Z99" s="19">
        <f t="shared" si="124"/>
        <v>0</v>
      </c>
      <c r="AB99" s="19">
        <f t="shared" si="125"/>
        <v>0</v>
      </c>
      <c r="AC99" s="19">
        <f t="shared" si="126"/>
        <v>0</v>
      </c>
      <c r="AD99" s="19">
        <f t="shared" si="127"/>
        <v>0</v>
      </c>
      <c r="AE99" s="19">
        <f t="shared" si="128"/>
        <v>0</v>
      </c>
      <c r="AF99" s="19">
        <f t="shared" si="129"/>
        <v>0</v>
      </c>
      <c r="AG99" s="19">
        <f t="shared" si="130"/>
        <v>0</v>
      </c>
      <c r="AH99" s="19">
        <f t="shared" si="131"/>
        <v>0</v>
      </c>
      <c r="AI99" s="51" t="s">
        <v>2</v>
      </c>
      <c r="AJ99" s="19">
        <f t="shared" si="132"/>
        <v>0</v>
      </c>
      <c r="AK99" s="19">
        <f t="shared" si="133"/>
        <v>0</v>
      </c>
      <c r="AL99" s="19">
        <f t="shared" si="134"/>
        <v>0</v>
      </c>
      <c r="AN99" s="19">
        <v>21</v>
      </c>
      <c r="AO99" s="19">
        <f>H99*0.381707530647986</f>
        <v>0</v>
      </c>
      <c r="AP99" s="19">
        <f>H99*(1-0.381707530647986)</f>
        <v>0</v>
      </c>
      <c r="AQ99" s="3" t="s">
        <v>575</v>
      </c>
      <c r="AV99" s="19">
        <f t="shared" si="135"/>
        <v>0</v>
      </c>
      <c r="AW99" s="19">
        <f t="shared" si="136"/>
        <v>0</v>
      </c>
      <c r="AX99" s="19">
        <f t="shared" si="137"/>
        <v>0</v>
      </c>
      <c r="AY99" s="3" t="s">
        <v>109</v>
      </c>
      <c r="AZ99" s="3" t="s">
        <v>210</v>
      </c>
      <c r="BA99" s="51" t="s">
        <v>503</v>
      </c>
      <c r="BC99" s="19">
        <f t="shared" si="138"/>
        <v>0</v>
      </c>
      <c r="BD99" s="19">
        <f t="shared" si="139"/>
        <v>0</v>
      </c>
      <c r="BE99" s="19">
        <v>0</v>
      </c>
      <c r="BF99" s="19">
        <f t="shared" si="140"/>
        <v>0.00594</v>
      </c>
      <c r="BH99" s="19">
        <f t="shared" si="141"/>
        <v>0</v>
      </c>
      <c r="BI99" s="19">
        <f t="shared" si="142"/>
        <v>0</v>
      </c>
      <c r="BJ99" s="19">
        <f t="shared" si="143"/>
        <v>0</v>
      </c>
      <c r="BK99" s="19"/>
      <c r="BL99" s="19">
        <v>734</v>
      </c>
    </row>
    <row r="100" spans="1:64" ht="15" customHeight="1">
      <c r="A100" s="26" t="s">
        <v>378</v>
      </c>
      <c r="B100" s="21" t="s">
        <v>2</v>
      </c>
      <c r="C100" s="21" t="s">
        <v>302</v>
      </c>
      <c r="D100" s="64" t="s">
        <v>188</v>
      </c>
      <c r="E100" s="64"/>
      <c r="F100" s="21" t="s">
        <v>139</v>
      </c>
      <c r="G100" s="19">
        <v>2</v>
      </c>
      <c r="H100" s="19">
        <v>0</v>
      </c>
      <c r="I100" s="19">
        <f t="shared" si="120"/>
        <v>0</v>
      </c>
      <c r="J100" s="19">
        <f t="shared" si="121"/>
        <v>0</v>
      </c>
      <c r="K100" s="19">
        <f t="shared" si="122"/>
        <v>0</v>
      </c>
      <c r="L100" s="19">
        <v>0.00297</v>
      </c>
      <c r="M100" s="19">
        <f t="shared" si="123"/>
        <v>0.00594</v>
      </c>
      <c r="N100" s="41" t="s">
        <v>476</v>
      </c>
      <c r="Z100" s="19">
        <f t="shared" si="124"/>
        <v>0</v>
      </c>
      <c r="AB100" s="19">
        <f t="shared" si="125"/>
        <v>0</v>
      </c>
      <c r="AC100" s="19">
        <f t="shared" si="126"/>
        <v>0</v>
      </c>
      <c r="AD100" s="19">
        <f t="shared" si="127"/>
        <v>0</v>
      </c>
      <c r="AE100" s="19">
        <f t="shared" si="128"/>
        <v>0</v>
      </c>
      <c r="AF100" s="19">
        <f t="shared" si="129"/>
        <v>0</v>
      </c>
      <c r="AG100" s="19">
        <f t="shared" si="130"/>
        <v>0</v>
      </c>
      <c r="AH100" s="19">
        <f t="shared" si="131"/>
        <v>0</v>
      </c>
      <c r="AI100" s="51" t="s">
        <v>2</v>
      </c>
      <c r="AJ100" s="19">
        <f t="shared" si="132"/>
        <v>0</v>
      </c>
      <c r="AK100" s="19">
        <f t="shared" si="133"/>
        <v>0</v>
      </c>
      <c r="AL100" s="19">
        <f t="shared" si="134"/>
        <v>0</v>
      </c>
      <c r="AN100" s="19">
        <v>21</v>
      </c>
      <c r="AO100" s="19">
        <f>H100*0.381707530647986</f>
        <v>0</v>
      </c>
      <c r="AP100" s="19">
        <f>H100*(1-0.381707530647986)</f>
        <v>0</v>
      </c>
      <c r="AQ100" s="3" t="s">
        <v>575</v>
      </c>
      <c r="AV100" s="19">
        <f t="shared" si="135"/>
        <v>0</v>
      </c>
      <c r="AW100" s="19">
        <f t="shared" si="136"/>
        <v>0</v>
      </c>
      <c r="AX100" s="19">
        <f t="shared" si="137"/>
        <v>0</v>
      </c>
      <c r="AY100" s="3" t="s">
        <v>109</v>
      </c>
      <c r="AZ100" s="3" t="s">
        <v>210</v>
      </c>
      <c r="BA100" s="51" t="s">
        <v>503</v>
      </c>
      <c r="BC100" s="19">
        <f t="shared" si="138"/>
        <v>0</v>
      </c>
      <c r="BD100" s="19">
        <f t="shared" si="139"/>
        <v>0</v>
      </c>
      <c r="BE100" s="19">
        <v>0</v>
      </c>
      <c r="BF100" s="19">
        <f t="shared" si="140"/>
        <v>0.00594</v>
      </c>
      <c r="BH100" s="19">
        <f t="shared" si="141"/>
        <v>0</v>
      </c>
      <c r="BI100" s="19">
        <f t="shared" si="142"/>
        <v>0</v>
      </c>
      <c r="BJ100" s="19">
        <f t="shared" si="143"/>
        <v>0</v>
      </c>
      <c r="BK100" s="19"/>
      <c r="BL100" s="19">
        <v>734</v>
      </c>
    </row>
    <row r="101" spans="1:64" ht="15" customHeight="1">
      <c r="A101" s="26" t="s">
        <v>291</v>
      </c>
      <c r="B101" s="21" t="s">
        <v>2</v>
      </c>
      <c r="C101" s="21" t="s">
        <v>116</v>
      </c>
      <c r="D101" s="64" t="s">
        <v>204</v>
      </c>
      <c r="E101" s="64"/>
      <c r="F101" s="21" t="s">
        <v>139</v>
      </c>
      <c r="G101" s="19">
        <v>33</v>
      </c>
      <c r="H101" s="19">
        <v>0</v>
      </c>
      <c r="I101" s="19">
        <f t="shared" si="120"/>
        <v>0</v>
      </c>
      <c r="J101" s="19">
        <f t="shared" si="121"/>
        <v>0</v>
      </c>
      <c r="K101" s="19">
        <f t="shared" si="122"/>
        <v>0</v>
      </c>
      <c r="L101" s="19">
        <v>0.00024</v>
      </c>
      <c r="M101" s="19">
        <f t="shared" si="123"/>
        <v>0.00792</v>
      </c>
      <c r="N101" s="41" t="s">
        <v>476</v>
      </c>
      <c r="Z101" s="19">
        <f t="shared" si="124"/>
        <v>0</v>
      </c>
      <c r="AB101" s="19">
        <f t="shared" si="125"/>
        <v>0</v>
      </c>
      <c r="AC101" s="19">
        <f t="shared" si="126"/>
        <v>0</v>
      </c>
      <c r="AD101" s="19">
        <f t="shared" si="127"/>
        <v>0</v>
      </c>
      <c r="AE101" s="19">
        <f t="shared" si="128"/>
        <v>0</v>
      </c>
      <c r="AF101" s="19">
        <f t="shared" si="129"/>
        <v>0</v>
      </c>
      <c r="AG101" s="19">
        <f t="shared" si="130"/>
        <v>0</v>
      </c>
      <c r="AH101" s="19">
        <f t="shared" si="131"/>
        <v>0</v>
      </c>
      <c r="AI101" s="51" t="s">
        <v>2</v>
      </c>
      <c r="AJ101" s="19">
        <f t="shared" si="132"/>
        <v>0</v>
      </c>
      <c r="AK101" s="19">
        <f t="shared" si="133"/>
        <v>0</v>
      </c>
      <c r="AL101" s="19">
        <f t="shared" si="134"/>
        <v>0</v>
      </c>
      <c r="AN101" s="19">
        <v>21</v>
      </c>
      <c r="AO101" s="19">
        <f>H101*0.251623755899257</f>
        <v>0</v>
      </c>
      <c r="AP101" s="19">
        <f>H101*(1-0.251623755899257)</f>
        <v>0</v>
      </c>
      <c r="AQ101" s="3" t="s">
        <v>575</v>
      </c>
      <c r="AV101" s="19">
        <f t="shared" si="135"/>
        <v>0</v>
      </c>
      <c r="AW101" s="19">
        <f t="shared" si="136"/>
        <v>0</v>
      </c>
      <c r="AX101" s="19">
        <f t="shared" si="137"/>
        <v>0</v>
      </c>
      <c r="AY101" s="3" t="s">
        <v>109</v>
      </c>
      <c r="AZ101" s="3" t="s">
        <v>210</v>
      </c>
      <c r="BA101" s="51" t="s">
        <v>503</v>
      </c>
      <c r="BC101" s="19">
        <f t="shared" si="138"/>
        <v>0</v>
      </c>
      <c r="BD101" s="19">
        <f t="shared" si="139"/>
        <v>0</v>
      </c>
      <c r="BE101" s="19">
        <v>0</v>
      </c>
      <c r="BF101" s="19">
        <f t="shared" si="140"/>
        <v>0.00792</v>
      </c>
      <c r="BH101" s="19">
        <f t="shared" si="141"/>
        <v>0</v>
      </c>
      <c r="BI101" s="19">
        <f t="shared" si="142"/>
        <v>0</v>
      </c>
      <c r="BJ101" s="19">
        <f t="shared" si="143"/>
        <v>0</v>
      </c>
      <c r="BK101" s="19"/>
      <c r="BL101" s="19">
        <v>734</v>
      </c>
    </row>
    <row r="102" spans="1:64" ht="15" customHeight="1">
      <c r="A102" s="26" t="s">
        <v>128</v>
      </c>
      <c r="B102" s="21" t="s">
        <v>2</v>
      </c>
      <c r="C102" s="21" t="s">
        <v>474</v>
      </c>
      <c r="D102" s="64" t="s">
        <v>183</v>
      </c>
      <c r="E102" s="64"/>
      <c r="F102" s="21" t="s">
        <v>139</v>
      </c>
      <c r="G102" s="19">
        <v>5</v>
      </c>
      <c r="H102" s="19">
        <v>0</v>
      </c>
      <c r="I102" s="19">
        <f t="shared" si="120"/>
        <v>0</v>
      </c>
      <c r="J102" s="19">
        <f t="shared" si="121"/>
        <v>0</v>
      </c>
      <c r="K102" s="19">
        <f t="shared" si="122"/>
        <v>0</v>
      </c>
      <c r="L102" s="19">
        <v>0.00026</v>
      </c>
      <c r="M102" s="19">
        <f t="shared" si="123"/>
        <v>0.0013</v>
      </c>
      <c r="N102" s="41" t="s">
        <v>476</v>
      </c>
      <c r="Z102" s="19">
        <f t="shared" si="124"/>
        <v>0</v>
      </c>
      <c r="AB102" s="19">
        <f t="shared" si="125"/>
        <v>0</v>
      </c>
      <c r="AC102" s="19">
        <f t="shared" si="126"/>
        <v>0</v>
      </c>
      <c r="AD102" s="19">
        <f t="shared" si="127"/>
        <v>0</v>
      </c>
      <c r="AE102" s="19">
        <f t="shared" si="128"/>
        <v>0</v>
      </c>
      <c r="AF102" s="19">
        <f t="shared" si="129"/>
        <v>0</v>
      </c>
      <c r="AG102" s="19">
        <f t="shared" si="130"/>
        <v>0</v>
      </c>
      <c r="AH102" s="19">
        <f t="shared" si="131"/>
        <v>0</v>
      </c>
      <c r="AI102" s="51" t="s">
        <v>2</v>
      </c>
      <c r="AJ102" s="19">
        <f t="shared" si="132"/>
        <v>0</v>
      </c>
      <c r="AK102" s="19">
        <f t="shared" si="133"/>
        <v>0</v>
      </c>
      <c r="AL102" s="19">
        <f t="shared" si="134"/>
        <v>0</v>
      </c>
      <c r="AN102" s="19">
        <v>21</v>
      </c>
      <c r="AO102" s="19">
        <f>H102*0.272260351802191</f>
        <v>0</v>
      </c>
      <c r="AP102" s="19">
        <f>H102*(1-0.272260351802191)</f>
        <v>0</v>
      </c>
      <c r="AQ102" s="3" t="s">
        <v>575</v>
      </c>
      <c r="AV102" s="19">
        <f t="shared" si="135"/>
        <v>0</v>
      </c>
      <c r="AW102" s="19">
        <f t="shared" si="136"/>
        <v>0</v>
      </c>
      <c r="AX102" s="19">
        <f t="shared" si="137"/>
        <v>0</v>
      </c>
      <c r="AY102" s="3" t="s">
        <v>109</v>
      </c>
      <c r="AZ102" s="3" t="s">
        <v>210</v>
      </c>
      <c r="BA102" s="51" t="s">
        <v>503</v>
      </c>
      <c r="BC102" s="19">
        <f t="shared" si="138"/>
        <v>0</v>
      </c>
      <c r="BD102" s="19">
        <f t="shared" si="139"/>
        <v>0</v>
      </c>
      <c r="BE102" s="19">
        <v>0</v>
      </c>
      <c r="BF102" s="19">
        <f t="shared" si="140"/>
        <v>0.0013</v>
      </c>
      <c r="BH102" s="19">
        <f t="shared" si="141"/>
        <v>0</v>
      </c>
      <c r="BI102" s="19">
        <f t="shared" si="142"/>
        <v>0</v>
      </c>
      <c r="BJ102" s="19">
        <f t="shared" si="143"/>
        <v>0</v>
      </c>
      <c r="BK102" s="19"/>
      <c r="BL102" s="19">
        <v>734</v>
      </c>
    </row>
    <row r="103" spans="1:64" ht="15" customHeight="1">
      <c r="A103" s="26" t="s">
        <v>46</v>
      </c>
      <c r="B103" s="21" t="s">
        <v>2</v>
      </c>
      <c r="C103" s="21" t="s">
        <v>167</v>
      </c>
      <c r="D103" s="64" t="s">
        <v>242</v>
      </c>
      <c r="E103" s="64"/>
      <c r="F103" s="21" t="s">
        <v>139</v>
      </c>
      <c r="G103" s="19">
        <v>12</v>
      </c>
      <c r="H103" s="19">
        <v>0</v>
      </c>
      <c r="I103" s="19">
        <f t="shared" si="120"/>
        <v>0</v>
      </c>
      <c r="J103" s="19">
        <f t="shared" si="121"/>
        <v>0</v>
      </c>
      <c r="K103" s="19">
        <f t="shared" si="122"/>
        <v>0</v>
      </c>
      <c r="L103" s="19">
        <v>0.00037</v>
      </c>
      <c r="M103" s="19">
        <f t="shared" si="123"/>
        <v>0.0044399999999999995</v>
      </c>
      <c r="N103" s="41" t="s">
        <v>476</v>
      </c>
      <c r="Z103" s="19">
        <f t="shared" si="124"/>
        <v>0</v>
      </c>
      <c r="AB103" s="19">
        <f t="shared" si="125"/>
        <v>0</v>
      </c>
      <c r="AC103" s="19">
        <f t="shared" si="126"/>
        <v>0</v>
      </c>
      <c r="AD103" s="19">
        <f t="shared" si="127"/>
        <v>0</v>
      </c>
      <c r="AE103" s="19">
        <f t="shared" si="128"/>
        <v>0</v>
      </c>
      <c r="AF103" s="19">
        <f t="shared" si="129"/>
        <v>0</v>
      </c>
      <c r="AG103" s="19">
        <f t="shared" si="130"/>
        <v>0</v>
      </c>
      <c r="AH103" s="19">
        <f t="shared" si="131"/>
        <v>0</v>
      </c>
      <c r="AI103" s="51" t="s">
        <v>2</v>
      </c>
      <c r="AJ103" s="19">
        <f t="shared" si="132"/>
        <v>0</v>
      </c>
      <c r="AK103" s="19">
        <f t="shared" si="133"/>
        <v>0</v>
      </c>
      <c r="AL103" s="19">
        <f t="shared" si="134"/>
        <v>0</v>
      </c>
      <c r="AN103" s="19">
        <v>21</v>
      </c>
      <c r="AO103" s="19">
        <f>H103*0.303333333333333</f>
        <v>0</v>
      </c>
      <c r="AP103" s="19">
        <f>H103*(1-0.303333333333333)</f>
        <v>0</v>
      </c>
      <c r="AQ103" s="3" t="s">
        <v>575</v>
      </c>
      <c r="AV103" s="19">
        <f t="shared" si="135"/>
        <v>0</v>
      </c>
      <c r="AW103" s="19">
        <f t="shared" si="136"/>
        <v>0</v>
      </c>
      <c r="AX103" s="19">
        <f t="shared" si="137"/>
        <v>0</v>
      </c>
      <c r="AY103" s="3" t="s">
        <v>109</v>
      </c>
      <c r="AZ103" s="3" t="s">
        <v>210</v>
      </c>
      <c r="BA103" s="51" t="s">
        <v>503</v>
      </c>
      <c r="BC103" s="19">
        <f t="shared" si="138"/>
        <v>0</v>
      </c>
      <c r="BD103" s="19">
        <f t="shared" si="139"/>
        <v>0</v>
      </c>
      <c r="BE103" s="19">
        <v>0</v>
      </c>
      <c r="BF103" s="19">
        <f t="shared" si="140"/>
        <v>0.0044399999999999995</v>
      </c>
      <c r="BH103" s="19">
        <f t="shared" si="141"/>
        <v>0</v>
      </c>
      <c r="BI103" s="19">
        <f t="shared" si="142"/>
        <v>0</v>
      </c>
      <c r="BJ103" s="19">
        <f t="shared" si="143"/>
        <v>0</v>
      </c>
      <c r="BK103" s="19"/>
      <c r="BL103" s="19">
        <v>734</v>
      </c>
    </row>
    <row r="104" spans="1:64" ht="15" customHeight="1">
      <c r="A104" s="26" t="s">
        <v>562</v>
      </c>
      <c r="B104" s="21" t="s">
        <v>2</v>
      </c>
      <c r="C104" s="21" t="s">
        <v>384</v>
      </c>
      <c r="D104" s="64" t="s">
        <v>149</v>
      </c>
      <c r="E104" s="64"/>
      <c r="F104" s="21" t="s">
        <v>139</v>
      </c>
      <c r="G104" s="19">
        <v>28</v>
      </c>
      <c r="H104" s="19">
        <v>0</v>
      </c>
      <c r="I104" s="19">
        <f t="shared" si="120"/>
        <v>0</v>
      </c>
      <c r="J104" s="19">
        <f t="shared" si="121"/>
        <v>0</v>
      </c>
      <c r="K104" s="19">
        <f t="shared" si="122"/>
        <v>0</v>
      </c>
      <c r="L104" s="19">
        <v>0.00042</v>
      </c>
      <c r="M104" s="19">
        <f t="shared" si="123"/>
        <v>0.01176</v>
      </c>
      <c r="N104" s="41" t="s">
        <v>476</v>
      </c>
      <c r="Z104" s="19">
        <f t="shared" si="124"/>
        <v>0</v>
      </c>
      <c r="AB104" s="19">
        <f t="shared" si="125"/>
        <v>0</v>
      </c>
      <c r="AC104" s="19">
        <f t="shared" si="126"/>
        <v>0</v>
      </c>
      <c r="AD104" s="19">
        <f t="shared" si="127"/>
        <v>0</v>
      </c>
      <c r="AE104" s="19">
        <f t="shared" si="128"/>
        <v>0</v>
      </c>
      <c r="AF104" s="19">
        <f t="shared" si="129"/>
        <v>0</v>
      </c>
      <c r="AG104" s="19">
        <f t="shared" si="130"/>
        <v>0</v>
      </c>
      <c r="AH104" s="19">
        <f t="shared" si="131"/>
        <v>0</v>
      </c>
      <c r="AI104" s="51" t="s">
        <v>2</v>
      </c>
      <c r="AJ104" s="19">
        <f t="shared" si="132"/>
        <v>0</v>
      </c>
      <c r="AK104" s="19">
        <f t="shared" si="133"/>
        <v>0</v>
      </c>
      <c r="AL104" s="19">
        <f t="shared" si="134"/>
        <v>0</v>
      </c>
      <c r="AN104" s="19">
        <v>21</v>
      </c>
      <c r="AO104" s="19">
        <f>H104*0.320180885959046</f>
        <v>0</v>
      </c>
      <c r="AP104" s="19">
        <f>H104*(1-0.320180885959046)</f>
        <v>0</v>
      </c>
      <c r="AQ104" s="3" t="s">
        <v>575</v>
      </c>
      <c r="AV104" s="19">
        <f t="shared" si="135"/>
        <v>0</v>
      </c>
      <c r="AW104" s="19">
        <f t="shared" si="136"/>
        <v>0</v>
      </c>
      <c r="AX104" s="19">
        <f t="shared" si="137"/>
        <v>0</v>
      </c>
      <c r="AY104" s="3" t="s">
        <v>109</v>
      </c>
      <c r="AZ104" s="3" t="s">
        <v>210</v>
      </c>
      <c r="BA104" s="51" t="s">
        <v>503</v>
      </c>
      <c r="BC104" s="19">
        <f t="shared" si="138"/>
        <v>0</v>
      </c>
      <c r="BD104" s="19">
        <f t="shared" si="139"/>
        <v>0</v>
      </c>
      <c r="BE104" s="19">
        <v>0</v>
      </c>
      <c r="BF104" s="19">
        <f t="shared" si="140"/>
        <v>0.01176</v>
      </c>
      <c r="BH104" s="19">
        <f t="shared" si="141"/>
        <v>0</v>
      </c>
      <c r="BI104" s="19">
        <f t="shared" si="142"/>
        <v>0</v>
      </c>
      <c r="BJ104" s="19">
        <f t="shared" si="143"/>
        <v>0</v>
      </c>
      <c r="BK104" s="19"/>
      <c r="BL104" s="19">
        <v>734</v>
      </c>
    </row>
    <row r="105" spans="1:64" ht="15" customHeight="1">
      <c r="A105" s="26" t="s">
        <v>93</v>
      </c>
      <c r="B105" s="21" t="s">
        <v>2</v>
      </c>
      <c r="C105" s="21" t="s">
        <v>622</v>
      </c>
      <c r="D105" s="64" t="s">
        <v>460</v>
      </c>
      <c r="E105" s="64"/>
      <c r="F105" s="21" t="s">
        <v>139</v>
      </c>
      <c r="G105" s="19">
        <v>8</v>
      </c>
      <c r="H105" s="19">
        <v>0</v>
      </c>
      <c r="I105" s="19">
        <f t="shared" si="120"/>
        <v>0</v>
      </c>
      <c r="J105" s="19">
        <f t="shared" si="121"/>
        <v>0</v>
      </c>
      <c r="K105" s="19">
        <f t="shared" si="122"/>
        <v>0</v>
      </c>
      <c r="L105" s="19">
        <v>0.00051</v>
      </c>
      <c r="M105" s="19">
        <f t="shared" si="123"/>
        <v>0.00408</v>
      </c>
      <c r="N105" s="41" t="s">
        <v>476</v>
      </c>
      <c r="Z105" s="19">
        <f t="shared" si="124"/>
        <v>0</v>
      </c>
      <c r="AB105" s="19">
        <f t="shared" si="125"/>
        <v>0</v>
      </c>
      <c r="AC105" s="19">
        <f t="shared" si="126"/>
        <v>0</v>
      </c>
      <c r="AD105" s="19">
        <f t="shared" si="127"/>
        <v>0</v>
      </c>
      <c r="AE105" s="19">
        <f t="shared" si="128"/>
        <v>0</v>
      </c>
      <c r="AF105" s="19">
        <f t="shared" si="129"/>
        <v>0</v>
      </c>
      <c r="AG105" s="19">
        <f t="shared" si="130"/>
        <v>0</v>
      </c>
      <c r="AH105" s="19">
        <f t="shared" si="131"/>
        <v>0</v>
      </c>
      <c r="AI105" s="51" t="s">
        <v>2</v>
      </c>
      <c r="AJ105" s="19">
        <f t="shared" si="132"/>
        <v>0</v>
      </c>
      <c r="AK105" s="19">
        <f t="shared" si="133"/>
        <v>0</v>
      </c>
      <c r="AL105" s="19">
        <f t="shared" si="134"/>
        <v>0</v>
      </c>
      <c r="AN105" s="19">
        <v>21</v>
      </c>
      <c r="AO105" s="19">
        <f>H105*0.327557354925776</f>
        <v>0</v>
      </c>
      <c r="AP105" s="19">
        <f>H105*(1-0.327557354925776)</f>
        <v>0</v>
      </c>
      <c r="AQ105" s="3" t="s">
        <v>575</v>
      </c>
      <c r="AV105" s="19">
        <f t="shared" si="135"/>
        <v>0</v>
      </c>
      <c r="AW105" s="19">
        <f t="shared" si="136"/>
        <v>0</v>
      </c>
      <c r="AX105" s="19">
        <f t="shared" si="137"/>
        <v>0</v>
      </c>
      <c r="AY105" s="3" t="s">
        <v>109</v>
      </c>
      <c r="AZ105" s="3" t="s">
        <v>210</v>
      </c>
      <c r="BA105" s="51" t="s">
        <v>503</v>
      </c>
      <c r="BC105" s="19">
        <f t="shared" si="138"/>
        <v>0</v>
      </c>
      <c r="BD105" s="19">
        <f t="shared" si="139"/>
        <v>0</v>
      </c>
      <c r="BE105" s="19">
        <v>0</v>
      </c>
      <c r="BF105" s="19">
        <f t="shared" si="140"/>
        <v>0.00408</v>
      </c>
      <c r="BH105" s="19">
        <f t="shared" si="141"/>
        <v>0</v>
      </c>
      <c r="BI105" s="19">
        <f t="shared" si="142"/>
        <v>0</v>
      </c>
      <c r="BJ105" s="19">
        <f t="shared" si="143"/>
        <v>0</v>
      </c>
      <c r="BK105" s="19"/>
      <c r="BL105" s="19">
        <v>734</v>
      </c>
    </row>
    <row r="106" spans="1:64" ht="15" customHeight="1">
      <c r="A106" s="26" t="s">
        <v>107</v>
      </c>
      <c r="B106" s="21" t="s">
        <v>2</v>
      </c>
      <c r="C106" s="21" t="s">
        <v>415</v>
      </c>
      <c r="D106" s="64" t="s">
        <v>322</v>
      </c>
      <c r="E106" s="64"/>
      <c r="F106" s="21" t="s">
        <v>139</v>
      </c>
      <c r="G106" s="19">
        <v>36</v>
      </c>
      <c r="H106" s="19">
        <v>0</v>
      </c>
      <c r="I106" s="19">
        <f t="shared" si="120"/>
        <v>0</v>
      </c>
      <c r="J106" s="19">
        <f t="shared" si="121"/>
        <v>0</v>
      </c>
      <c r="K106" s="19">
        <f t="shared" si="122"/>
        <v>0</v>
      </c>
      <c r="L106" s="19">
        <v>0.00079</v>
      </c>
      <c r="M106" s="19">
        <f t="shared" si="123"/>
        <v>0.02844</v>
      </c>
      <c r="N106" s="41" t="s">
        <v>476</v>
      </c>
      <c r="Z106" s="19">
        <f t="shared" si="124"/>
        <v>0</v>
      </c>
      <c r="AB106" s="19">
        <f t="shared" si="125"/>
        <v>0</v>
      </c>
      <c r="AC106" s="19">
        <f t="shared" si="126"/>
        <v>0</v>
      </c>
      <c r="AD106" s="19">
        <f t="shared" si="127"/>
        <v>0</v>
      </c>
      <c r="AE106" s="19">
        <f t="shared" si="128"/>
        <v>0</v>
      </c>
      <c r="AF106" s="19">
        <f t="shared" si="129"/>
        <v>0</v>
      </c>
      <c r="AG106" s="19">
        <f t="shared" si="130"/>
        <v>0</v>
      </c>
      <c r="AH106" s="19">
        <f t="shared" si="131"/>
        <v>0</v>
      </c>
      <c r="AI106" s="51" t="s">
        <v>2</v>
      </c>
      <c r="AJ106" s="19">
        <f t="shared" si="132"/>
        <v>0</v>
      </c>
      <c r="AK106" s="19">
        <f t="shared" si="133"/>
        <v>0</v>
      </c>
      <c r="AL106" s="19">
        <f t="shared" si="134"/>
        <v>0</v>
      </c>
      <c r="AN106" s="19">
        <v>21</v>
      </c>
      <c r="AO106" s="19">
        <f>H106*0.356592119275825</f>
        <v>0</v>
      </c>
      <c r="AP106" s="19">
        <f>H106*(1-0.356592119275825)</f>
        <v>0</v>
      </c>
      <c r="AQ106" s="3" t="s">
        <v>575</v>
      </c>
      <c r="AV106" s="19">
        <f t="shared" si="135"/>
        <v>0</v>
      </c>
      <c r="AW106" s="19">
        <f t="shared" si="136"/>
        <v>0</v>
      </c>
      <c r="AX106" s="19">
        <f t="shared" si="137"/>
        <v>0</v>
      </c>
      <c r="AY106" s="3" t="s">
        <v>109</v>
      </c>
      <c r="AZ106" s="3" t="s">
        <v>210</v>
      </c>
      <c r="BA106" s="51" t="s">
        <v>503</v>
      </c>
      <c r="BC106" s="19">
        <f t="shared" si="138"/>
        <v>0</v>
      </c>
      <c r="BD106" s="19">
        <f t="shared" si="139"/>
        <v>0</v>
      </c>
      <c r="BE106" s="19">
        <v>0</v>
      </c>
      <c r="BF106" s="19">
        <f t="shared" si="140"/>
        <v>0.02844</v>
      </c>
      <c r="BH106" s="19">
        <f t="shared" si="141"/>
        <v>0</v>
      </c>
      <c r="BI106" s="19">
        <f t="shared" si="142"/>
        <v>0</v>
      </c>
      <c r="BJ106" s="19">
        <f t="shared" si="143"/>
        <v>0</v>
      </c>
      <c r="BK106" s="19"/>
      <c r="BL106" s="19">
        <v>734</v>
      </c>
    </row>
    <row r="107" spans="1:47" ht="15" customHeight="1">
      <c r="A107" s="61" t="s">
        <v>392</v>
      </c>
      <c r="B107" s="36" t="s">
        <v>2</v>
      </c>
      <c r="C107" s="36" t="s">
        <v>323</v>
      </c>
      <c r="D107" s="68" t="s">
        <v>459</v>
      </c>
      <c r="E107" s="68"/>
      <c r="F107" s="1" t="s">
        <v>525</v>
      </c>
      <c r="G107" s="1" t="s">
        <v>525</v>
      </c>
      <c r="H107" s="1" t="s">
        <v>525</v>
      </c>
      <c r="I107" s="33">
        <f>SUM(I108:I108)</f>
        <v>0</v>
      </c>
      <c r="J107" s="33">
        <f>SUM(J108:J108)</f>
        <v>0</v>
      </c>
      <c r="K107" s="33">
        <f>SUM(K108:K108)</f>
        <v>0</v>
      </c>
      <c r="L107" s="51" t="s">
        <v>392</v>
      </c>
      <c r="M107" s="33">
        <f>SUM(M108:M108)</f>
        <v>0.0056159999999999995</v>
      </c>
      <c r="N107" s="58" t="s">
        <v>392</v>
      </c>
      <c r="AI107" s="51" t="s">
        <v>2</v>
      </c>
      <c r="AS107" s="33">
        <f>SUM(AJ108:AJ108)</f>
        <v>0</v>
      </c>
      <c r="AT107" s="33">
        <f>SUM(AK108:AK108)</f>
        <v>0</v>
      </c>
      <c r="AU107" s="33">
        <f>SUM(AL108:AL108)</f>
        <v>0</v>
      </c>
    </row>
    <row r="108" spans="1:64" ht="15" customHeight="1">
      <c r="A108" s="26" t="s">
        <v>589</v>
      </c>
      <c r="B108" s="21" t="s">
        <v>2</v>
      </c>
      <c r="C108" s="21" t="s">
        <v>385</v>
      </c>
      <c r="D108" s="64" t="s">
        <v>62</v>
      </c>
      <c r="E108" s="64"/>
      <c r="F108" s="21" t="s">
        <v>471</v>
      </c>
      <c r="G108" s="19">
        <v>46.8</v>
      </c>
      <c r="H108" s="19">
        <v>0</v>
      </c>
      <c r="I108" s="19">
        <f>G108*AO108</f>
        <v>0</v>
      </c>
      <c r="J108" s="19">
        <f>G108*AP108</f>
        <v>0</v>
      </c>
      <c r="K108" s="19">
        <f>G108*H108</f>
        <v>0</v>
      </c>
      <c r="L108" s="19">
        <v>0.00012</v>
      </c>
      <c r="M108" s="19">
        <f>G108*L108</f>
        <v>0.0056159999999999995</v>
      </c>
      <c r="N108" s="41" t="s">
        <v>476</v>
      </c>
      <c r="Z108" s="19">
        <f>IF(AQ108="5",BJ108,0)</f>
        <v>0</v>
      </c>
      <c r="AB108" s="19">
        <f>IF(AQ108="1",BH108,0)</f>
        <v>0</v>
      </c>
      <c r="AC108" s="19">
        <f>IF(AQ108="1",BI108,0)</f>
        <v>0</v>
      </c>
      <c r="AD108" s="19">
        <f>IF(AQ108="7",BH108,0)</f>
        <v>0</v>
      </c>
      <c r="AE108" s="19">
        <f>IF(AQ108="7",BI108,0)</f>
        <v>0</v>
      </c>
      <c r="AF108" s="19">
        <f>IF(AQ108="2",BH108,0)</f>
        <v>0</v>
      </c>
      <c r="AG108" s="19">
        <f>IF(AQ108="2",BI108,0)</f>
        <v>0</v>
      </c>
      <c r="AH108" s="19">
        <f>IF(AQ108="0",BJ108,0)</f>
        <v>0</v>
      </c>
      <c r="AI108" s="51" t="s">
        <v>2</v>
      </c>
      <c r="AJ108" s="19">
        <f>IF(AN108=0,K108,0)</f>
        <v>0</v>
      </c>
      <c r="AK108" s="19">
        <f>IF(AN108=15,K108,0)</f>
        <v>0</v>
      </c>
      <c r="AL108" s="19">
        <f>IF(AN108=21,K108,0)</f>
        <v>0</v>
      </c>
      <c r="AN108" s="19">
        <v>21</v>
      </c>
      <c r="AO108" s="19">
        <f>H108*0.231785345717234</f>
        <v>0</v>
      </c>
      <c r="AP108" s="19">
        <f>H108*(1-0.231785345717234)</f>
        <v>0</v>
      </c>
      <c r="AQ108" s="3" t="s">
        <v>575</v>
      </c>
      <c r="AV108" s="19">
        <f>AW108+AX108</f>
        <v>0</v>
      </c>
      <c r="AW108" s="19">
        <f>G108*AO108</f>
        <v>0</v>
      </c>
      <c r="AX108" s="19">
        <f>G108*AP108</f>
        <v>0</v>
      </c>
      <c r="AY108" s="3" t="s">
        <v>131</v>
      </c>
      <c r="AZ108" s="3" t="s">
        <v>176</v>
      </c>
      <c r="BA108" s="51" t="s">
        <v>503</v>
      </c>
      <c r="BC108" s="19">
        <f>AW108+AX108</f>
        <v>0</v>
      </c>
      <c r="BD108" s="19">
        <f>H108/(100-BE108)*100</f>
        <v>0</v>
      </c>
      <c r="BE108" s="19">
        <v>0</v>
      </c>
      <c r="BF108" s="19">
        <f>M108</f>
        <v>0.0056159999999999995</v>
      </c>
      <c r="BH108" s="19">
        <f>G108*AO108</f>
        <v>0</v>
      </c>
      <c r="BI108" s="19">
        <f>G108*AP108</f>
        <v>0</v>
      </c>
      <c r="BJ108" s="19">
        <f>G108*H108</f>
        <v>0</v>
      </c>
      <c r="BK108" s="19"/>
      <c r="BL108" s="19">
        <v>783</v>
      </c>
    </row>
    <row r="109" spans="1:47" ht="15" customHeight="1">
      <c r="A109" s="61" t="s">
        <v>392</v>
      </c>
      <c r="B109" s="36" t="s">
        <v>2</v>
      </c>
      <c r="C109" s="36" t="s">
        <v>611</v>
      </c>
      <c r="D109" s="68" t="s">
        <v>186</v>
      </c>
      <c r="E109" s="68"/>
      <c r="F109" s="1" t="s">
        <v>525</v>
      </c>
      <c r="G109" s="1" t="s">
        <v>525</v>
      </c>
      <c r="H109" s="1" t="s">
        <v>525</v>
      </c>
      <c r="I109" s="33">
        <f>SUM(I110:I114)</f>
        <v>0</v>
      </c>
      <c r="J109" s="33">
        <f>SUM(J110:J114)</f>
        <v>0</v>
      </c>
      <c r="K109" s="33">
        <f>SUM(K110:K114)</f>
        <v>0</v>
      </c>
      <c r="L109" s="51" t="s">
        <v>392</v>
      </c>
      <c r="M109" s="33">
        <f>SUM(M110:M114)</f>
        <v>0</v>
      </c>
      <c r="N109" s="58" t="s">
        <v>392</v>
      </c>
      <c r="AI109" s="51" t="s">
        <v>2</v>
      </c>
      <c r="AS109" s="33">
        <f>SUM(AJ110:AJ114)</f>
        <v>0</v>
      </c>
      <c r="AT109" s="33">
        <f>SUM(AK110:AK114)</f>
        <v>0</v>
      </c>
      <c r="AU109" s="33">
        <f>SUM(AL110:AL114)</f>
        <v>0</v>
      </c>
    </row>
    <row r="110" spans="1:64" ht="15" customHeight="1">
      <c r="A110" s="26" t="s">
        <v>342</v>
      </c>
      <c r="B110" s="21" t="s">
        <v>2</v>
      </c>
      <c r="C110" s="21" t="s">
        <v>171</v>
      </c>
      <c r="D110" s="64" t="s">
        <v>333</v>
      </c>
      <c r="E110" s="64"/>
      <c r="F110" s="21" t="s">
        <v>253</v>
      </c>
      <c r="G110" s="19">
        <v>36</v>
      </c>
      <c r="H110" s="19">
        <v>0</v>
      </c>
      <c r="I110" s="19">
        <f>G110*AO110</f>
        <v>0</v>
      </c>
      <c r="J110" s="19">
        <f>G110*AP110</f>
        <v>0</v>
      </c>
      <c r="K110" s="19">
        <f>G110*H110</f>
        <v>0</v>
      </c>
      <c r="L110" s="19">
        <v>0</v>
      </c>
      <c r="M110" s="19">
        <f>G110*L110</f>
        <v>0</v>
      </c>
      <c r="N110" s="41" t="s">
        <v>476</v>
      </c>
      <c r="Z110" s="19">
        <f>IF(AQ110="5",BJ110,0)</f>
        <v>0</v>
      </c>
      <c r="AB110" s="19">
        <f>IF(AQ110="1",BH110,0)</f>
        <v>0</v>
      </c>
      <c r="AC110" s="19">
        <f>IF(AQ110="1",BI110,0)</f>
        <v>0</v>
      </c>
      <c r="AD110" s="19">
        <f>IF(AQ110="7",BH110,0)</f>
        <v>0</v>
      </c>
      <c r="AE110" s="19">
        <f>IF(AQ110="7",BI110,0)</f>
        <v>0</v>
      </c>
      <c r="AF110" s="19">
        <f>IF(AQ110="2",BH110,0)</f>
        <v>0</v>
      </c>
      <c r="AG110" s="19">
        <f>IF(AQ110="2",BI110,0)</f>
        <v>0</v>
      </c>
      <c r="AH110" s="19">
        <f>IF(AQ110="0",BJ110,0)</f>
        <v>0</v>
      </c>
      <c r="AI110" s="51" t="s">
        <v>2</v>
      </c>
      <c r="AJ110" s="19">
        <f>IF(AN110=0,K110,0)</f>
        <v>0</v>
      </c>
      <c r="AK110" s="19">
        <f>IF(AN110=15,K110,0)</f>
        <v>0</v>
      </c>
      <c r="AL110" s="19">
        <f>IF(AN110=21,K110,0)</f>
        <v>0</v>
      </c>
      <c r="AN110" s="19">
        <v>21</v>
      </c>
      <c r="AO110" s="19">
        <f>H110*0</f>
        <v>0</v>
      </c>
      <c r="AP110" s="19">
        <f>H110*(1-0)</f>
        <v>0</v>
      </c>
      <c r="AQ110" s="3" t="s">
        <v>570</v>
      </c>
      <c r="AV110" s="19">
        <f>AW110+AX110</f>
        <v>0</v>
      </c>
      <c r="AW110" s="19">
        <f>G110*AO110</f>
        <v>0</v>
      </c>
      <c r="AX110" s="19">
        <f>G110*AP110</f>
        <v>0</v>
      </c>
      <c r="AY110" s="3" t="s">
        <v>160</v>
      </c>
      <c r="AZ110" s="3" t="s">
        <v>617</v>
      </c>
      <c r="BA110" s="51" t="s">
        <v>503</v>
      </c>
      <c r="BC110" s="19">
        <f>AW110+AX110</f>
        <v>0</v>
      </c>
      <c r="BD110" s="19">
        <f>H110/(100-BE110)*100</f>
        <v>0</v>
      </c>
      <c r="BE110" s="19">
        <v>0</v>
      </c>
      <c r="BF110" s="19">
        <f>M110</f>
        <v>0</v>
      </c>
      <c r="BH110" s="19">
        <f>G110*AO110</f>
        <v>0</v>
      </c>
      <c r="BI110" s="19">
        <f>G110*AP110</f>
        <v>0</v>
      </c>
      <c r="BJ110" s="19">
        <f>G110*H110</f>
        <v>0</v>
      </c>
      <c r="BK110" s="19"/>
      <c r="BL110" s="19">
        <v>90</v>
      </c>
    </row>
    <row r="111" spans="1:64" ht="15" customHeight="1">
      <c r="A111" s="26" t="s">
        <v>283</v>
      </c>
      <c r="B111" s="21" t="s">
        <v>2</v>
      </c>
      <c r="C111" s="21" t="s">
        <v>171</v>
      </c>
      <c r="D111" s="64" t="s">
        <v>113</v>
      </c>
      <c r="E111" s="64"/>
      <c r="F111" s="21" t="s">
        <v>253</v>
      </c>
      <c r="G111" s="19">
        <v>6</v>
      </c>
      <c r="H111" s="19">
        <v>0</v>
      </c>
      <c r="I111" s="19">
        <f>G111*AO111</f>
        <v>0</v>
      </c>
      <c r="J111" s="19">
        <f>G111*AP111</f>
        <v>0</v>
      </c>
      <c r="K111" s="19">
        <f>G111*H111</f>
        <v>0</v>
      </c>
      <c r="L111" s="19">
        <v>0</v>
      </c>
      <c r="M111" s="19">
        <f>G111*L111</f>
        <v>0</v>
      </c>
      <c r="N111" s="41" t="s">
        <v>476</v>
      </c>
      <c r="Z111" s="19">
        <f>IF(AQ111="5",BJ111,0)</f>
        <v>0</v>
      </c>
      <c r="AB111" s="19">
        <f>IF(AQ111="1",BH111,0)</f>
        <v>0</v>
      </c>
      <c r="AC111" s="19">
        <f>IF(AQ111="1",BI111,0)</f>
        <v>0</v>
      </c>
      <c r="AD111" s="19">
        <f>IF(AQ111="7",BH111,0)</f>
        <v>0</v>
      </c>
      <c r="AE111" s="19">
        <f>IF(AQ111="7",BI111,0)</f>
        <v>0</v>
      </c>
      <c r="AF111" s="19">
        <f>IF(AQ111="2",BH111,0)</f>
        <v>0</v>
      </c>
      <c r="AG111" s="19">
        <f>IF(AQ111="2",BI111,0)</f>
        <v>0</v>
      </c>
      <c r="AH111" s="19">
        <f>IF(AQ111="0",BJ111,0)</f>
        <v>0</v>
      </c>
      <c r="AI111" s="51" t="s">
        <v>2</v>
      </c>
      <c r="AJ111" s="19">
        <f>IF(AN111=0,K111,0)</f>
        <v>0</v>
      </c>
      <c r="AK111" s="19">
        <f>IF(AN111=15,K111,0)</f>
        <v>0</v>
      </c>
      <c r="AL111" s="19">
        <f>IF(AN111=21,K111,0)</f>
        <v>0</v>
      </c>
      <c r="AN111" s="19">
        <v>21</v>
      </c>
      <c r="AO111" s="19">
        <f>H111*0</f>
        <v>0</v>
      </c>
      <c r="AP111" s="19">
        <f>H111*(1-0)</f>
        <v>0</v>
      </c>
      <c r="AQ111" s="3" t="s">
        <v>570</v>
      </c>
      <c r="AV111" s="19">
        <f>AW111+AX111</f>
        <v>0</v>
      </c>
      <c r="AW111" s="19">
        <f>G111*AO111</f>
        <v>0</v>
      </c>
      <c r="AX111" s="19">
        <f>G111*AP111</f>
        <v>0</v>
      </c>
      <c r="AY111" s="3" t="s">
        <v>160</v>
      </c>
      <c r="AZ111" s="3" t="s">
        <v>617</v>
      </c>
      <c r="BA111" s="51" t="s">
        <v>503</v>
      </c>
      <c r="BC111" s="19">
        <f>AW111+AX111</f>
        <v>0</v>
      </c>
      <c r="BD111" s="19">
        <f>H111/(100-BE111)*100</f>
        <v>0</v>
      </c>
      <c r="BE111" s="19">
        <v>0</v>
      </c>
      <c r="BF111" s="19">
        <f>M111</f>
        <v>0</v>
      </c>
      <c r="BH111" s="19">
        <f>G111*AO111</f>
        <v>0</v>
      </c>
      <c r="BI111" s="19">
        <f>G111*AP111</f>
        <v>0</v>
      </c>
      <c r="BJ111" s="19">
        <f>G111*H111</f>
        <v>0</v>
      </c>
      <c r="BK111" s="19"/>
      <c r="BL111" s="19">
        <v>90</v>
      </c>
    </row>
    <row r="112" spans="1:64" ht="15" customHeight="1">
      <c r="A112" s="26" t="s">
        <v>370</v>
      </c>
      <c r="B112" s="21" t="s">
        <v>2</v>
      </c>
      <c r="C112" s="21" t="s">
        <v>171</v>
      </c>
      <c r="D112" s="64" t="s">
        <v>625</v>
      </c>
      <c r="E112" s="64"/>
      <c r="F112" s="21" t="s">
        <v>253</v>
      </c>
      <c r="G112" s="19">
        <v>8</v>
      </c>
      <c r="H112" s="19">
        <v>0</v>
      </c>
      <c r="I112" s="19">
        <f>G112*AO112</f>
        <v>0</v>
      </c>
      <c r="J112" s="19">
        <f>G112*AP112</f>
        <v>0</v>
      </c>
      <c r="K112" s="19">
        <f>G112*H112</f>
        <v>0</v>
      </c>
      <c r="L112" s="19">
        <v>0</v>
      </c>
      <c r="M112" s="19">
        <f>G112*L112</f>
        <v>0</v>
      </c>
      <c r="N112" s="41" t="s">
        <v>476</v>
      </c>
      <c r="Z112" s="19">
        <f>IF(AQ112="5",BJ112,0)</f>
        <v>0</v>
      </c>
      <c r="AB112" s="19">
        <f>IF(AQ112="1",BH112,0)</f>
        <v>0</v>
      </c>
      <c r="AC112" s="19">
        <f>IF(AQ112="1",BI112,0)</f>
        <v>0</v>
      </c>
      <c r="AD112" s="19">
        <f>IF(AQ112="7",BH112,0)</f>
        <v>0</v>
      </c>
      <c r="AE112" s="19">
        <f>IF(AQ112="7",BI112,0)</f>
        <v>0</v>
      </c>
      <c r="AF112" s="19">
        <f>IF(AQ112="2",BH112,0)</f>
        <v>0</v>
      </c>
      <c r="AG112" s="19">
        <f>IF(AQ112="2",BI112,0)</f>
        <v>0</v>
      </c>
      <c r="AH112" s="19">
        <f>IF(AQ112="0",BJ112,0)</f>
        <v>0</v>
      </c>
      <c r="AI112" s="51" t="s">
        <v>2</v>
      </c>
      <c r="AJ112" s="19">
        <f>IF(AN112=0,K112,0)</f>
        <v>0</v>
      </c>
      <c r="AK112" s="19">
        <f>IF(AN112=15,K112,0)</f>
        <v>0</v>
      </c>
      <c r="AL112" s="19">
        <f>IF(AN112=21,K112,0)</f>
        <v>0</v>
      </c>
      <c r="AN112" s="19">
        <v>21</v>
      </c>
      <c r="AO112" s="19">
        <f>H112*0</f>
        <v>0</v>
      </c>
      <c r="AP112" s="19">
        <f>H112*(1-0)</f>
        <v>0</v>
      </c>
      <c r="AQ112" s="3" t="s">
        <v>570</v>
      </c>
      <c r="AV112" s="19">
        <f>AW112+AX112</f>
        <v>0</v>
      </c>
      <c r="AW112" s="19">
        <f>G112*AO112</f>
        <v>0</v>
      </c>
      <c r="AX112" s="19">
        <f>G112*AP112</f>
        <v>0</v>
      </c>
      <c r="AY112" s="3" t="s">
        <v>160</v>
      </c>
      <c r="AZ112" s="3" t="s">
        <v>617</v>
      </c>
      <c r="BA112" s="51" t="s">
        <v>503</v>
      </c>
      <c r="BC112" s="19">
        <f>AW112+AX112</f>
        <v>0</v>
      </c>
      <c r="BD112" s="19">
        <f>H112/(100-BE112)*100</f>
        <v>0</v>
      </c>
      <c r="BE112" s="19">
        <v>0</v>
      </c>
      <c r="BF112" s="19">
        <f>M112</f>
        <v>0</v>
      </c>
      <c r="BH112" s="19">
        <f>G112*AO112</f>
        <v>0</v>
      </c>
      <c r="BI112" s="19">
        <f>G112*AP112</f>
        <v>0</v>
      </c>
      <c r="BJ112" s="19">
        <f>G112*H112</f>
        <v>0</v>
      </c>
      <c r="BK112" s="19"/>
      <c r="BL112" s="19">
        <v>90</v>
      </c>
    </row>
    <row r="113" spans="1:64" ht="15" customHeight="1">
      <c r="A113" s="26" t="s">
        <v>20</v>
      </c>
      <c r="B113" s="21" t="s">
        <v>2</v>
      </c>
      <c r="C113" s="21" t="s">
        <v>171</v>
      </c>
      <c r="D113" s="64" t="s">
        <v>32</v>
      </c>
      <c r="E113" s="64"/>
      <c r="F113" s="21" t="s">
        <v>253</v>
      </c>
      <c r="G113" s="19">
        <v>16</v>
      </c>
      <c r="H113" s="19">
        <v>0</v>
      </c>
      <c r="I113" s="19">
        <f>G113*AO113</f>
        <v>0</v>
      </c>
      <c r="J113" s="19">
        <f>G113*AP113</f>
        <v>0</v>
      </c>
      <c r="K113" s="19">
        <f>G113*H113</f>
        <v>0</v>
      </c>
      <c r="L113" s="19">
        <v>0</v>
      </c>
      <c r="M113" s="19">
        <f>G113*L113</f>
        <v>0</v>
      </c>
      <c r="N113" s="41" t="s">
        <v>476</v>
      </c>
      <c r="Z113" s="19">
        <f>IF(AQ113="5",BJ113,0)</f>
        <v>0</v>
      </c>
      <c r="AB113" s="19">
        <f>IF(AQ113="1",BH113,0)</f>
        <v>0</v>
      </c>
      <c r="AC113" s="19">
        <f>IF(AQ113="1",BI113,0)</f>
        <v>0</v>
      </c>
      <c r="AD113" s="19">
        <f>IF(AQ113="7",BH113,0)</f>
        <v>0</v>
      </c>
      <c r="AE113" s="19">
        <f>IF(AQ113="7",BI113,0)</f>
        <v>0</v>
      </c>
      <c r="AF113" s="19">
        <f>IF(AQ113="2",BH113,0)</f>
        <v>0</v>
      </c>
      <c r="AG113" s="19">
        <f>IF(AQ113="2",BI113,0)</f>
        <v>0</v>
      </c>
      <c r="AH113" s="19">
        <f>IF(AQ113="0",BJ113,0)</f>
        <v>0</v>
      </c>
      <c r="AI113" s="51" t="s">
        <v>2</v>
      </c>
      <c r="AJ113" s="19">
        <f>IF(AN113=0,K113,0)</f>
        <v>0</v>
      </c>
      <c r="AK113" s="19">
        <f>IF(AN113=15,K113,0)</f>
        <v>0</v>
      </c>
      <c r="AL113" s="19">
        <f>IF(AN113=21,K113,0)</f>
        <v>0</v>
      </c>
      <c r="AN113" s="19">
        <v>21</v>
      </c>
      <c r="AO113" s="19">
        <f>H113*0</f>
        <v>0</v>
      </c>
      <c r="AP113" s="19">
        <f>H113*(1-0)</f>
        <v>0</v>
      </c>
      <c r="AQ113" s="3" t="s">
        <v>570</v>
      </c>
      <c r="AV113" s="19">
        <f>AW113+AX113</f>
        <v>0</v>
      </c>
      <c r="AW113" s="19">
        <f>G113*AO113</f>
        <v>0</v>
      </c>
      <c r="AX113" s="19">
        <f>G113*AP113</f>
        <v>0</v>
      </c>
      <c r="AY113" s="3" t="s">
        <v>160</v>
      </c>
      <c r="AZ113" s="3" t="s">
        <v>617</v>
      </c>
      <c r="BA113" s="51" t="s">
        <v>503</v>
      </c>
      <c r="BC113" s="19">
        <f>AW113+AX113</f>
        <v>0</v>
      </c>
      <c r="BD113" s="19">
        <f>H113/(100-BE113)*100</f>
        <v>0</v>
      </c>
      <c r="BE113" s="19">
        <v>0</v>
      </c>
      <c r="BF113" s="19">
        <f>M113</f>
        <v>0</v>
      </c>
      <c r="BH113" s="19">
        <f>G113*AO113</f>
        <v>0</v>
      </c>
      <c r="BI113" s="19">
        <f>G113*AP113</f>
        <v>0</v>
      </c>
      <c r="BJ113" s="19">
        <f>G113*H113</f>
        <v>0</v>
      </c>
      <c r="BK113" s="19"/>
      <c r="BL113" s="19">
        <v>90</v>
      </c>
    </row>
    <row r="114" spans="1:64" ht="15" customHeight="1">
      <c r="A114" s="26" t="s">
        <v>616</v>
      </c>
      <c r="B114" s="21" t="s">
        <v>2</v>
      </c>
      <c r="C114" s="21" t="s">
        <v>171</v>
      </c>
      <c r="D114" s="64" t="s">
        <v>453</v>
      </c>
      <c r="E114" s="64"/>
      <c r="F114" s="21" t="s">
        <v>253</v>
      </c>
      <c r="G114" s="19">
        <v>16</v>
      </c>
      <c r="H114" s="19">
        <v>0</v>
      </c>
      <c r="I114" s="19">
        <f>G114*AO114</f>
        <v>0</v>
      </c>
      <c r="J114" s="19">
        <f>G114*AP114</f>
        <v>0</v>
      </c>
      <c r="K114" s="19">
        <f>G114*H114</f>
        <v>0</v>
      </c>
      <c r="L114" s="19">
        <v>0</v>
      </c>
      <c r="M114" s="19">
        <f>G114*L114</f>
        <v>0</v>
      </c>
      <c r="N114" s="41" t="s">
        <v>476</v>
      </c>
      <c r="Z114" s="19">
        <f>IF(AQ114="5",BJ114,0)</f>
        <v>0</v>
      </c>
      <c r="AB114" s="19">
        <f>IF(AQ114="1",BH114,0)</f>
        <v>0</v>
      </c>
      <c r="AC114" s="19">
        <f>IF(AQ114="1",BI114,0)</f>
        <v>0</v>
      </c>
      <c r="AD114" s="19">
        <f>IF(AQ114="7",BH114,0)</f>
        <v>0</v>
      </c>
      <c r="AE114" s="19">
        <f>IF(AQ114="7",BI114,0)</f>
        <v>0</v>
      </c>
      <c r="AF114" s="19">
        <f>IF(AQ114="2",BH114,0)</f>
        <v>0</v>
      </c>
      <c r="AG114" s="19">
        <f>IF(AQ114="2",BI114,0)</f>
        <v>0</v>
      </c>
      <c r="AH114" s="19">
        <f>IF(AQ114="0",BJ114,0)</f>
        <v>0</v>
      </c>
      <c r="AI114" s="51" t="s">
        <v>2</v>
      </c>
      <c r="AJ114" s="19">
        <f>IF(AN114=0,K114,0)</f>
        <v>0</v>
      </c>
      <c r="AK114" s="19">
        <f>IF(AN114=15,K114,0)</f>
        <v>0</v>
      </c>
      <c r="AL114" s="19">
        <f>IF(AN114=21,K114,0)</f>
        <v>0</v>
      </c>
      <c r="AN114" s="19">
        <v>21</v>
      </c>
      <c r="AO114" s="19">
        <f>H114*0</f>
        <v>0</v>
      </c>
      <c r="AP114" s="19">
        <f>H114*(1-0)</f>
        <v>0</v>
      </c>
      <c r="AQ114" s="3" t="s">
        <v>570</v>
      </c>
      <c r="AV114" s="19">
        <f>AW114+AX114</f>
        <v>0</v>
      </c>
      <c r="AW114" s="19">
        <f>G114*AO114</f>
        <v>0</v>
      </c>
      <c r="AX114" s="19">
        <f>G114*AP114</f>
        <v>0</v>
      </c>
      <c r="AY114" s="3" t="s">
        <v>160</v>
      </c>
      <c r="AZ114" s="3" t="s">
        <v>617</v>
      </c>
      <c r="BA114" s="51" t="s">
        <v>503</v>
      </c>
      <c r="BC114" s="19">
        <f>AW114+AX114</f>
        <v>0</v>
      </c>
      <c r="BD114" s="19">
        <f>H114/(100-BE114)*100</f>
        <v>0</v>
      </c>
      <c r="BE114" s="19">
        <v>0</v>
      </c>
      <c r="BF114" s="19">
        <f>M114</f>
        <v>0</v>
      </c>
      <c r="BH114" s="19">
        <f>G114*AO114</f>
        <v>0</v>
      </c>
      <c r="BI114" s="19">
        <f>G114*AP114</f>
        <v>0</v>
      </c>
      <c r="BJ114" s="19">
        <f>G114*H114</f>
        <v>0</v>
      </c>
      <c r="BK114" s="19"/>
      <c r="BL114" s="19">
        <v>90</v>
      </c>
    </row>
    <row r="115" spans="1:47" ht="15" customHeight="1">
      <c r="A115" s="61" t="s">
        <v>392</v>
      </c>
      <c r="B115" s="36" t="s">
        <v>2</v>
      </c>
      <c r="C115" s="36" t="s">
        <v>66</v>
      </c>
      <c r="D115" s="68" t="s">
        <v>400</v>
      </c>
      <c r="E115" s="68"/>
      <c r="F115" s="1" t="s">
        <v>525</v>
      </c>
      <c r="G115" s="1" t="s">
        <v>525</v>
      </c>
      <c r="H115" s="1" t="s">
        <v>525</v>
      </c>
      <c r="I115" s="33">
        <f>SUM(I116:I116)</f>
        <v>0</v>
      </c>
      <c r="J115" s="33">
        <f>SUM(J116:J116)</f>
        <v>0</v>
      </c>
      <c r="K115" s="33">
        <f>SUM(K116:K116)</f>
        <v>0</v>
      </c>
      <c r="L115" s="51" t="s">
        <v>392</v>
      </c>
      <c r="M115" s="33">
        <f>SUM(M116:M116)</f>
        <v>0.3552</v>
      </c>
      <c r="N115" s="58" t="s">
        <v>392</v>
      </c>
      <c r="AI115" s="51" t="s">
        <v>2</v>
      </c>
      <c r="AS115" s="33">
        <f>SUM(AJ116:AJ116)</f>
        <v>0</v>
      </c>
      <c r="AT115" s="33">
        <f>SUM(AK116:AK116)</f>
        <v>0</v>
      </c>
      <c r="AU115" s="33">
        <f>SUM(AL116:AL116)</f>
        <v>0</v>
      </c>
    </row>
    <row r="116" spans="1:64" ht="15" customHeight="1">
      <c r="A116" s="26" t="s">
        <v>612</v>
      </c>
      <c r="B116" s="21" t="s">
        <v>2</v>
      </c>
      <c r="C116" s="21" t="s">
        <v>325</v>
      </c>
      <c r="D116" s="64" t="s">
        <v>155</v>
      </c>
      <c r="E116" s="64"/>
      <c r="F116" s="21" t="s">
        <v>564</v>
      </c>
      <c r="G116" s="19">
        <v>60</v>
      </c>
      <c r="H116" s="19">
        <v>0</v>
      </c>
      <c r="I116" s="19">
        <f>G116*AO116</f>
        <v>0</v>
      </c>
      <c r="J116" s="19">
        <f>G116*AP116</f>
        <v>0</v>
      </c>
      <c r="K116" s="19">
        <f>G116*H116</f>
        <v>0</v>
      </c>
      <c r="L116" s="19">
        <v>0.00592</v>
      </c>
      <c r="M116" s="19">
        <f>G116*L116</f>
        <v>0.3552</v>
      </c>
      <c r="N116" s="41" t="s">
        <v>476</v>
      </c>
      <c r="Z116" s="19">
        <f>IF(AQ116="5",BJ116,0)</f>
        <v>0</v>
      </c>
      <c r="AB116" s="19">
        <f>IF(AQ116="1",BH116,0)</f>
        <v>0</v>
      </c>
      <c r="AC116" s="19">
        <f>IF(AQ116="1",BI116,0)</f>
        <v>0</v>
      </c>
      <c r="AD116" s="19">
        <f>IF(AQ116="7",BH116,0)</f>
        <v>0</v>
      </c>
      <c r="AE116" s="19">
        <f>IF(AQ116="7",BI116,0)</f>
        <v>0</v>
      </c>
      <c r="AF116" s="19">
        <f>IF(AQ116="2",BH116,0)</f>
        <v>0</v>
      </c>
      <c r="AG116" s="19">
        <f>IF(AQ116="2",BI116,0)</f>
        <v>0</v>
      </c>
      <c r="AH116" s="19">
        <f>IF(AQ116="0",BJ116,0)</f>
        <v>0</v>
      </c>
      <c r="AI116" s="51" t="s">
        <v>2</v>
      </c>
      <c r="AJ116" s="19">
        <f>IF(AN116=0,K116,0)</f>
        <v>0</v>
      </c>
      <c r="AK116" s="19">
        <f>IF(AN116=15,K116,0)</f>
        <v>0</v>
      </c>
      <c r="AL116" s="19">
        <f>IF(AN116=21,K116,0)</f>
        <v>0</v>
      </c>
      <c r="AN116" s="19">
        <v>21</v>
      </c>
      <c r="AO116" s="19">
        <f>H116*0.423384969545825</f>
        <v>0</v>
      </c>
      <c r="AP116" s="19">
        <f>H116*(1-0.423384969545825)</f>
        <v>0</v>
      </c>
      <c r="AQ116" s="3" t="s">
        <v>570</v>
      </c>
      <c r="AV116" s="19">
        <f>AW116+AX116</f>
        <v>0</v>
      </c>
      <c r="AW116" s="19">
        <f>G116*AO116</f>
        <v>0</v>
      </c>
      <c r="AX116" s="19">
        <f>G116*AP116</f>
        <v>0</v>
      </c>
      <c r="AY116" s="3" t="s">
        <v>632</v>
      </c>
      <c r="AZ116" s="3" t="s">
        <v>617</v>
      </c>
      <c r="BA116" s="51" t="s">
        <v>503</v>
      </c>
      <c r="BC116" s="19">
        <f>AW116+AX116</f>
        <v>0</v>
      </c>
      <c r="BD116" s="19">
        <f>H116/(100-BE116)*100</f>
        <v>0</v>
      </c>
      <c r="BE116" s="19">
        <v>0</v>
      </c>
      <c r="BF116" s="19">
        <f>M116</f>
        <v>0.3552</v>
      </c>
      <c r="BH116" s="19">
        <f>G116*AO116</f>
        <v>0</v>
      </c>
      <c r="BI116" s="19">
        <f>G116*AP116</f>
        <v>0</v>
      </c>
      <c r="BJ116" s="19">
        <f>G116*H116</f>
        <v>0</v>
      </c>
      <c r="BK116" s="19"/>
      <c r="BL116" s="19">
        <v>94</v>
      </c>
    </row>
    <row r="117" spans="1:47" ht="15" customHeight="1">
      <c r="A117" s="61" t="s">
        <v>392</v>
      </c>
      <c r="B117" s="36" t="s">
        <v>2</v>
      </c>
      <c r="C117" s="36" t="s">
        <v>440</v>
      </c>
      <c r="D117" s="68" t="s">
        <v>252</v>
      </c>
      <c r="E117" s="68"/>
      <c r="F117" s="1" t="s">
        <v>525</v>
      </c>
      <c r="G117" s="1" t="s">
        <v>525</v>
      </c>
      <c r="H117" s="1" t="s">
        <v>525</v>
      </c>
      <c r="I117" s="33">
        <f>SUM(I118:I118)</f>
        <v>0</v>
      </c>
      <c r="J117" s="33">
        <f>SUM(J118:J118)</f>
        <v>0</v>
      </c>
      <c r="K117" s="33">
        <f>SUM(K118:K118)</f>
        <v>0</v>
      </c>
      <c r="L117" s="51" t="s">
        <v>392</v>
      </c>
      <c r="M117" s="33">
        <f>SUM(M118:M118)</f>
        <v>0</v>
      </c>
      <c r="N117" s="58" t="s">
        <v>392</v>
      </c>
      <c r="AI117" s="51" t="s">
        <v>2</v>
      </c>
      <c r="AS117" s="33">
        <f>SUM(AJ118:AJ118)</f>
        <v>0</v>
      </c>
      <c r="AT117" s="33">
        <f>SUM(AK118:AK118)</f>
        <v>0</v>
      </c>
      <c r="AU117" s="33">
        <f>SUM(AL118:AL118)</f>
        <v>0</v>
      </c>
    </row>
    <row r="118" spans="1:64" ht="15" customHeight="1">
      <c r="A118" s="26" t="s">
        <v>611</v>
      </c>
      <c r="B118" s="21" t="s">
        <v>2</v>
      </c>
      <c r="C118" s="21" t="s">
        <v>550</v>
      </c>
      <c r="D118" s="64" t="s">
        <v>592</v>
      </c>
      <c r="E118" s="64"/>
      <c r="F118" s="21" t="s">
        <v>501</v>
      </c>
      <c r="G118" s="19">
        <v>0</v>
      </c>
      <c r="H118" s="19">
        <v>4.85</v>
      </c>
      <c r="I118" s="19">
        <f>G118*AO118</f>
        <v>0</v>
      </c>
      <c r="J118" s="19">
        <f>G118*AP118</f>
        <v>0</v>
      </c>
      <c r="K118" s="19">
        <f>G118*H118</f>
        <v>0</v>
      </c>
      <c r="L118" s="19">
        <v>0</v>
      </c>
      <c r="M118" s="19">
        <f>G118*L118</f>
        <v>0</v>
      </c>
      <c r="N118" s="41" t="s">
        <v>476</v>
      </c>
      <c r="Z118" s="19">
        <f>IF(AQ118="5",BJ118,0)</f>
        <v>0</v>
      </c>
      <c r="AB118" s="19">
        <f>IF(AQ118="1",BH118,0)</f>
        <v>0</v>
      </c>
      <c r="AC118" s="19">
        <f>IF(AQ118="1",BI118,0)</f>
        <v>0</v>
      </c>
      <c r="AD118" s="19">
        <f>IF(AQ118="7",BH118,0)</f>
        <v>0</v>
      </c>
      <c r="AE118" s="19">
        <f>IF(AQ118="7",BI118,0)</f>
        <v>0</v>
      </c>
      <c r="AF118" s="19">
        <f>IF(AQ118="2",BH118,0)</f>
        <v>0</v>
      </c>
      <c r="AG118" s="19">
        <f>IF(AQ118="2",BI118,0)</f>
        <v>0</v>
      </c>
      <c r="AH118" s="19">
        <f>IF(AQ118="0",BJ118,0)</f>
        <v>0</v>
      </c>
      <c r="AI118" s="51" t="s">
        <v>2</v>
      </c>
      <c r="AJ118" s="19">
        <f>IF(AN118=0,K118,0)</f>
        <v>0</v>
      </c>
      <c r="AK118" s="19">
        <f>IF(AN118=15,K118,0)</f>
        <v>0</v>
      </c>
      <c r="AL118" s="19">
        <f>IF(AN118=21,K118,0)</f>
        <v>0</v>
      </c>
      <c r="AN118" s="19">
        <v>21</v>
      </c>
      <c r="AO118" s="19">
        <f>H118*0</f>
        <v>0</v>
      </c>
      <c r="AP118" s="19">
        <f>H118*(1-0)</f>
        <v>4.85</v>
      </c>
      <c r="AQ118" s="3" t="s">
        <v>304</v>
      </c>
      <c r="AV118" s="19">
        <f>AW118+AX118</f>
        <v>0</v>
      </c>
      <c r="AW118" s="19">
        <f>G118*AO118</f>
        <v>0</v>
      </c>
      <c r="AX118" s="19">
        <f>G118*AP118</f>
        <v>0</v>
      </c>
      <c r="AY118" s="3" t="s">
        <v>627</v>
      </c>
      <c r="AZ118" s="3" t="s">
        <v>617</v>
      </c>
      <c r="BA118" s="51" t="s">
        <v>503</v>
      </c>
      <c r="BC118" s="19">
        <f>AW118+AX118</f>
        <v>0</v>
      </c>
      <c r="BD118" s="19">
        <f>H118/(100-BE118)*100</f>
        <v>4.85</v>
      </c>
      <c r="BE118" s="19">
        <v>0</v>
      </c>
      <c r="BF118" s="19">
        <f>M118</f>
        <v>0</v>
      </c>
      <c r="BH118" s="19">
        <f>G118*AO118</f>
        <v>0</v>
      </c>
      <c r="BI118" s="19">
        <f>G118*AP118</f>
        <v>0</v>
      </c>
      <c r="BJ118" s="19">
        <f>G118*H118</f>
        <v>0</v>
      </c>
      <c r="BK118" s="19"/>
      <c r="BL118" s="19"/>
    </row>
    <row r="119" spans="1:47" ht="15" customHeight="1">
      <c r="A119" s="61" t="s">
        <v>392</v>
      </c>
      <c r="B119" s="36" t="s">
        <v>2</v>
      </c>
      <c r="C119" s="36" t="s">
        <v>392</v>
      </c>
      <c r="D119" s="68" t="s">
        <v>37</v>
      </c>
      <c r="E119" s="68"/>
      <c r="F119" s="1" t="s">
        <v>525</v>
      </c>
      <c r="G119" s="1" t="s">
        <v>525</v>
      </c>
      <c r="H119" s="1" t="s">
        <v>525</v>
      </c>
      <c r="I119" s="33">
        <f>SUM(I120:I141)</f>
        <v>0</v>
      </c>
      <c r="J119" s="33">
        <f>SUM(J120:J141)</f>
        <v>0</v>
      </c>
      <c r="K119" s="33">
        <f>SUM(K120:K141)</f>
        <v>0</v>
      </c>
      <c r="L119" s="51" t="s">
        <v>392</v>
      </c>
      <c r="M119" s="33">
        <f>SUM(M120:M141)</f>
        <v>0</v>
      </c>
      <c r="N119" s="58" t="s">
        <v>392</v>
      </c>
      <c r="AI119" s="51" t="s">
        <v>2</v>
      </c>
      <c r="AS119" s="33">
        <f>SUM(AJ120:AJ141)</f>
        <v>0</v>
      </c>
      <c r="AT119" s="33">
        <f>SUM(AK120:AK141)</f>
        <v>0</v>
      </c>
      <c r="AU119" s="33">
        <f>SUM(AL120:AL141)</f>
        <v>0</v>
      </c>
    </row>
    <row r="120" spans="1:64" ht="15" customHeight="1">
      <c r="A120" s="26" t="s">
        <v>18</v>
      </c>
      <c r="B120" s="21" t="s">
        <v>2</v>
      </c>
      <c r="C120" s="21" t="s">
        <v>598</v>
      </c>
      <c r="D120" s="64" t="s">
        <v>282</v>
      </c>
      <c r="E120" s="64"/>
      <c r="F120" s="21" t="s">
        <v>442</v>
      </c>
      <c r="G120" s="19">
        <v>1</v>
      </c>
      <c r="H120" s="19">
        <v>0</v>
      </c>
      <c r="I120" s="19">
        <f aca="true" t="shared" si="144" ref="I120:I141">G120*AO120</f>
        <v>0</v>
      </c>
      <c r="J120" s="19">
        <f aca="true" t="shared" si="145" ref="J120:J141">G120*AP120</f>
        <v>0</v>
      </c>
      <c r="K120" s="19">
        <f aca="true" t="shared" si="146" ref="K120:K141">G120*H120</f>
        <v>0</v>
      </c>
      <c r="L120" s="19">
        <v>0</v>
      </c>
      <c r="M120" s="19">
        <f aca="true" t="shared" si="147" ref="M120:M141">G120*L120</f>
        <v>0</v>
      </c>
      <c r="N120" s="41" t="s">
        <v>476</v>
      </c>
      <c r="Z120" s="19">
        <f aca="true" t="shared" si="148" ref="Z120:Z141">IF(AQ120="5",BJ120,0)</f>
        <v>0</v>
      </c>
      <c r="AB120" s="19">
        <f aca="true" t="shared" si="149" ref="AB120:AB141">IF(AQ120="1",BH120,0)</f>
        <v>0</v>
      </c>
      <c r="AC120" s="19">
        <f aca="true" t="shared" si="150" ref="AC120:AC141">IF(AQ120="1",BI120,0)</f>
        <v>0</v>
      </c>
      <c r="AD120" s="19">
        <f aca="true" t="shared" si="151" ref="AD120:AD141">IF(AQ120="7",BH120,0)</f>
        <v>0</v>
      </c>
      <c r="AE120" s="19">
        <f aca="true" t="shared" si="152" ref="AE120:AE141">IF(AQ120="7",BI120,0)</f>
        <v>0</v>
      </c>
      <c r="AF120" s="19">
        <f aca="true" t="shared" si="153" ref="AF120:AF141">IF(AQ120="2",BH120,0)</f>
        <v>0</v>
      </c>
      <c r="AG120" s="19">
        <f aca="true" t="shared" si="154" ref="AG120:AG141">IF(AQ120="2",BI120,0)</f>
        <v>0</v>
      </c>
      <c r="AH120" s="19">
        <f aca="true" t="shared" si="155" ref="AH120:AH141">IF(AQ120="0",BJ120,0)</f>
        <v>0</v>
      </c>
      <c r="AI120" s="51" t="s">
        <v>2</v>
      </c>
      <c r="AJ120" s="19">
        <f aca="true" t="shared" si="156" ref="AJ120:AJ141">IF(AN120=0,K120,0)</f>
        <v>0</v>
      </c>
      <c r="AK120" s="19">
        <f aca="true" t="shared" si="157" ref="AK120:AK141">IF(AN120=15,K120,0)</f>
        <v>0</v>
      </c>
      <c r="AL120" s="19">
        <f aca="true" t="shared" si="158" ref="AL120:AL141">IF(AN120=21,K120,0)</f>
        <v>0</v>
      </c>
      <c r="AN120" s="19">
        <v>21</v>
      </c>
      <c r="AO120" s="19">
        <f aca="true" t="shared" si="159" ref="AO120:AO141">H120*1</f>
        <v>0</v>
      </c>
      <c r="AP120" s="19">
        <f aca="true" t="shared" si="160" ref="AP120:AP141">H120*(1-1)</f>
        <v>0</v>
      </c>
      <c r="AQ120" s="3" t="s">
        <v>300</v>
      </c>
      <c r="AV120" s="19">
        <f aca="true" t="shared" si="161" ref="AV120:AV141">AW120+AX120</f>
        <v>0</v>
      </c>
      <c r="AW120" s="19">
        <f aca="true" t="shared" si="162" ref="AW120:AW141">G120*AO120</f>
        <v>0</v>
      </c>
      <c r="AX120" s="19">
        <f aca="true" t="shared" si="163" ref="AX120:AX141">G120*AP120</f>
        <v>0</v>
      </c>
      <c r="AY120" s="3" t="s">
        <v>121</v>
      </c>
      <c r="AZ120" s="3" t="s">
        <v>72</v>
      </c>
      <c r="BA120" s="51" t="s">
        <v>503</v>
      </c>
      <c r="BC120" s="19">
        <f aca="true" t="shared" si="164" ref="BC120:BC141">AW120+AX120</f>
        <v>0</v>
      </c>
      <c r="BD120" s="19">
        <f aca="true" t="shared" si="165" ref="BD120:BD141">H120/(100-BE120)*100</f>
        <v>0</v>
      </c>
      <c r="BE120" s="19">
        <v>0</v>
      </c>
      <c r="BF120" s="19">
        <f aca="true" t="shared" si="166" ref="BF120:BF141">M120</f>
        <v>0</v>
      </c>
      <c r="BH120" s="19">
        <f aca="true" t="shared" si="167" ref="BH120:BH141">G120*AO120</f>
        <v>0</v>
      </c>
      <c r="BI120" s="19">
        <f aca="true" t="shared" si="168" ref="BI120:BI141">G120*AP120</f>
        <v>0</v>
      </c>
      <c r="BJ120" s="19">
        <f aca="true" t="shared" si="169" ref="BJ120:BJ141">G120*H120</f>
        <v>0</v>
      </c>
      <c r="BK120" s="19"/>
      <c r="BL120" s="19"/>
    </row>
    <row r="121" spans="1:64" ht="15" customHeight="1">
      <c r="A121" s="26" t="s">
        <v>1</v>
      </c>
      <c r="B121" s="21" t="s">
        <v>2</v>
      </c>
      <c r="C121" s="21" t="s">
        <v>517</v>
      </c>
      <c r="D121" s="64" t="s">
        <v>19</v>
      </c>
      <c r="E121" s="64"/>
      <c r="F121" s="21" t="s">
        <v>396</v>
      </c>
      <c r="G121" s="19">
        <v>1</v>
      </c>
      <c r="H121" s="19">
        <v>0</v>
      </c>
      <c r="I121" s="19">
        <f t="shared" si="144"/>
        <v>0</v>
      </c>
      <c r="J121" s="19">
        <f t="shared" si="145"/>
        <v>0</v>
      </c>
      <c r="K121" s="19">
        <f t="shared" si="146"/>
        <v>0</v>
      </c>
      <c r="L121" s="19">
        <v>0</v>
      </c>
      <c r="M121" s="19">
        <f t="shared" si="147"/>
        <v>0</v>
      </c>
      <c r="N121" s="41" t="s">
        <v>476</v>
      </c>
      <c r="Z121" s="19">
        <f t="shared" si="148"/>
        <v>0</v>
      </c>
      <c r="AB121" s="19">
        <f t="shared" si="149"/>
        <v>0</v>
      </c>
      <c r="AC121" s="19">
        <f t="shared" si="150"/>
        <v>0</v>
      </c>
      <c r="AD121" s="19">
        <f t="shared" si="151"/>
        <v>0</v>
      </c>
      <c r="AE121" s="19">
        <f t="shared" si="152"/>
        <v>0</v>
      </c>
      <c r="AF121" s="19">
        <f t="shared" si="153"/>
        <v>0</v>
      </c>
      <c r="AG121" s="19">
        <f t="shared" si="154"/>
        <v>0</v>
      </c>
      <c r="AH121" s="19">
        <f t="shared" si="155"/>
        <v>0</v>
      </c>
      <c r="AI121" s="51" t="s">
        <v>2</v>
      </c>
      <c r="AJ121" s="19">
        <f t="shared" si="156"/>
        <v>0</v>
      </c>
      <c r="AK121" s="19">
        <f t="shared" si="157"/>
        <v>0</v>
      </c>
      <c r="AL121" s="19">
        <f t="shared" si="158"/>
        <v>0</v>
      </c>
      <c r="AN121" s="19">
        <v>21</v>
      </c>
      <c r="AO121" s="19">
        <f t="shared" si="159"/>
        <v>0</v>
      </c>
      <c r="AP121" s="19">
        <f t="shared" si="160"/>
        <v>0</v>
      </c>
      <c r="AQ121" s="3" t="s">
        <v>300</v>
      </c>
      <c r="AV121" s="19">
        <f t="shared" si="161"/>
        <v>0</v>
      </c>
      <c r="AW121" s="19">
        <f t="shared" si="162"/>
        <v>0</v>
      </c>
      <c r="AX121" s="19">
        <f t="shared" si="163"/>
        <v>0</v>
      </c>
      <c r="AY121" s="3" t="s">
        <v>121</v>
      </c>
      <c r="AZ121" s="3" t="s">
        <v>72</v>
      </c>
      <c r="BA121" s="51" t="s">
        <v>503</v>
      </c>
      <c r="BC121" s="19">
        <f t="shared" si="164"/>
        <v>0</v>
      </c>
      <c r="BD121" s="19">
        <f t="shared" si="165"/>
        <v>0</v>
      </c>
      <c r="BE121" s="19">
        <v>0</v>
      </c>
      <c r="BF121" s="19">
        <f t="shared" si="166"/>
        <v>0</v>
      </c>
      <c r="BH121" s="19">
        <f t="shared" si="167"/>
        <v>0</v>
      </c>
      <c r="BI121" s="19">
        <f t="shared" si="168"/>
        <v>0</v>
      </c>
      <c r="BJ121" s="19">
        <f t="shared" si="169"/>
        <v>0</v>
      </c>
      <c r="BK121" s="19"/>
      <c r="BL121" s="19"/>
    </row>
    <row r="122" spans="1:64" ht="15" customHeight="1">
      <c r="A122" s="26" t="s">
        <v>518</v>
      </c>
      <c r="B122" s="21" t="s">
        <v>2</v>
      </c>
      <c r="C122" s="21" t="s">
        <v>615</v>
      </c>
      <c r="D122" s="64" t="s">
        <v>208</v>
      </c>
      <c r="E122" s="64"/>
      <c r="F122" s="21" t="s">
        <v>396</v>
      </c>
      <c r="G122" s="19">
        <v>1</v>
      </c>
      <c r="H122" s="19">
        <v>0</v>
      </c>
      <c r="I122" s="19">
        <f t="shared" si="144"/>
        <v>0</v>
      </c>
      <c r="J122" s="19">
        <f t="shared" si="145"/>
        <v>0</v>
      </c>
      <c r="K122" s="19">
        <f t="shared" si="146"/>
        <v>0</v>
      </c>
      <c r="L122" s="19">
        <v>0</v>
      </c>
      <c r="M122" s="19">
        <f t="shared" si="147"/>
        <v>0</v>
      </c>
      <c r="N122" s="41" t="s">
        <v>476</v>
      </c>
      <c r="Z122" s="19">
        <f t="shared" si="148"/>
        <v>0</v>
      </c>
      <c r="AB122" s="19">
        <f t="shared" si="149"/>
        <v>0</v>
      </c>
      <c r="AC122" s="19">
        <f t="shared" si="150"/>
        <v>0</v>
      </c>
      <c r="AD122" s="19">
        <f t="shared" si="151"/>
        <v>0</v>
      </c>
      <c r="AE122" s="19">
        <f t="shared" si="152"/>
        <v>0</v>
      </c>
      <c r="AF122" s="19">
        <f t="shared" si="153"/>
        <v>0</v>
      </c>
      <c r="AG122" s="19">
        <f t="shared" si="154"/>
        <v>0</v>
      </c>
      <c r="AH122" s="19">
        <f t="shared" si="155"/>
        <v>0</v>
      </c>
      <c r="AI122" s="51" t="s">
        <v>2</v>
      </c>
      <c r="AJ122" s="19">
        <f t="shared" si="156"/>
        <v>0</v>
      </c>
      <c r="AK122" s="19">
        <f t="shared" si="157"/>
        <v>0</v>
      </c>
      <c r="AL122" s="19">
        <f t="shared" si="158"/>
        <v>0</v>
      </c>
      <c r="AN122" s="19">
        <v>21</v>
      </c>
      <c r="AO122" s="19">
        <f t="shared" si="159"/>
        <v>0</v>
      </c>
      <c r="AP122" s="19">
        <f t="shared" si="160"/>
        <v>0</v>
      </c>
      <c r="AQ122" s="3" t="s">
        <v>300</v>
      </c>
      <c r="AV122" s="19">
        <f t="shared" si="161"/>
        <v>0</v>
      </c>
      <c r="AW122" s="19">
        <f t="shared" si="162"/>
        <v>0</v>
      </c>
      <c r="AX122" s="19">
        <f t="shared" si="163"/>
        <v>0</v>
      </c>
      <c r="AY122" s="3" t="s">
        <v>121</v>
      </c>
      <c r="AZ122" s="3" t="s">
        <v>72</v>
      </c>
      <c r="BA122" s="51" t="s">
        <v>503</v>
      </c>
      <c r="BC122" s="19">
        <f t="shared" si="164"/>
        <v>0</v>
      </c>
      <c r="BD122" s="19">
        <f t="shared" si="165"/>
        <v>0</v>
      </c>
      <c r="BE122" s="19">
        <v>0</v>
      </c>
      <c r="BF122" s="19">
        <f t="shared" si="166"/>
        <v>0</v>
      </c>
      <c r="BH122" s="19">
        <f t="shared" si="167"/>
        <v>0</v>
      </c>
      <c r="BI122" s="19">
        <f t="shared" si="168"/>
        <v>0</v>
      </c>
      <c r="BJ122" s="19">
        <f t="shared" si="169"/>
        <v>0</v>
      </c>
      <c r="BK122" s="19"/>
      <c r="BL122" s="19"/>
    </row>
    <row r="123" spans="1:64" ht="15" customHeight="1">
      <c r="A123" s="26" t="s">
        <v>66</v>
      </c>
      <c r="B123" s="21" t="s">
        <v>2</v>
      </c>
      <c r="C123" s="21" t="s">
        <v>613</v>
      </c>
      <c r="D123" s="64" t="s">
        <v>366</v>
      </c>
      <c r="E123" s="64"/>
      <c r="F123" s="21" t="s">
        <v>442</v>
      </c>
      <c r="G123" s="19">
        <v>1</v>
      </c>
      <c r="H123" s="19">
        <v>0</v>
      </c>
      <c r="I123" s="19">
        <f t="shared" si="144"/>
        <v>0</v>
      </c>
      <c r="J123" s="19">
        <f t="shared" si="145"/>
        <v>0</v>
      </c>
      <c r="K123" s="19">
        <f t="shared" si="146"/>
        <v>0</v>
      </c>
      <c r="L123" s="19">
        <v>0</v>
      </c>
      <c r="M123" s="19">
        <f t="shared" si="147"/>
        <v>0</v>
      </c>
      <c r="N123" s="41" t="s">
        <v>476</v>
      </c>
      <c r="Z123" s="19">
        <f t="shared" si="148"/>
        <v>0</v>
      </c>
      <c r="AB123" s="19">
        <f t="shared" si="149"/>
        <v>0</v>
      </c>
      <c r="AC123" s="19">
        <f t="shared" si="150"/>
        <v>0</v>
      </c>
      <c r="AD123" s="19">
        <f t="shared" si="151"/>
        <v>0</v>
      </c>
      <c r="AE123" s="19">
        <f t="shared" si="152"/>
        <v>0</v>
      </c>
      <c r="AF123" s="19">
        <f t="shared" si="153"/>
        <v>0</v>
      </c>
      <c r="AG123" s="19">
        <f t="shared" si="154"/>
        <v>0</v>
      </c>
      <c r="AH123" s="19">
        <f t="shared" si="155"/>
        <v>0</v>
      </c>
      <c r="AI123" s="51" t="s">
        <v>2</v>
      </c>
      <c r="AJ123" s="19">
        <f t="shared" si="156"/>
        <v>0</v>
      </c>
      <c r="AK123" s="19">
        <f t="shared" si="157"/>
        <v>0</v>
      </c>
      <c r="AL123" s="19">
        <f t="shared" si="158"/>
        <v>0</v>
      </c>
      <c r="AN123" s="19">
        <v>21</v>
      </c>
      <c r="AO123" s="19">
        <f t="shared" si="159"/>
        <v>0</v>
      </c>
      <c r="AP123" s="19">
        <f t="shared" si="160"/>
        <v>0</v>
      </c>
      <c r="AQ123" s="3" t="s">
        <v>300</v>
      </c>
      <c r="AV123" s="19">
        <f t="shared" si="161"/>
        <v>0</v>
      </c>
      <c r="AW123" s="19">
        <f t="shared" si="162"/>
        <v>0</v>
      </c>
      <c r="AX123" s="19">
        <f t="shared" si="163"/>
        <v>0</v>
      </c>
      <c r="AY123" s="3" t="s">
        <v>121</v>
      </c>
      <c r="AZ123" s="3" t="s">
        <v>72</v>
      </c>
      <c r="BA123" s="51" t="s">
        <v>503</v>
      </c>
      <c r="BC123" s="19">
        <f t="shared" si="164"/>
        <v>0</v>
      </c>
      <c r="BD123" s="19">
        <f t="shared" si="165"/>
        <v>0</v>
      </c>
      <c r="BE123" s="19">
        <v>0</v>
      </c>
      <c r="BF123" s="19">
        <f t="shared" si="166"/>
        <v>0</v>
      </c>
      <c r="BH123" s="19">
        <f t="shared" si="167"/>
        <v>0</v>
      </c>
      <c r="BI123" s="19">
        <f t="shared" si="168"/>
        <v>0</v>
      </c>
      <c r="BJ123" s="19">
        <f t="shared" si="169"/>
        <v>0</v>
      </c>
      <c r="BK123" s="19"/>
      <c r="BL123" s="19"/>
    </row>
    <row r="124" spans="1:64" ht="15" customHeight="1">
      <c r="A124" s="26" t="s">
        <v>224</v>
      </c>
      <c r="B124" s="21" t="s">
        <v>2</v>
      </c>
      <c r="C124" s="21" t="s">
        <v>145</v>
      </c>
      <c r="D124" s="64" t="s">
        <v>99</v>
      </c>
      <c r="E124" s="64"/>
      <c r="F124" s="21" t="s">
        <v>396</v>
      </c>
      <c r="G124" s="19">
        <v>1</v>
      </c>
      <c r="H124" s="19">
        <v>0</v>
      </c>
      <c r="I124" s="19">
        <f t="shared" si="144"/>
        <v>0</v>
      </c>
      <c r="J124" s="19">
        <f t="shared" si="145"/>
        <v>0</v>
      </c>
      <c r="K124" s="19">
        <f t="shared" si="146"/>
        <v>0</v>
      </c>
      <c r="L124" s="19">
        <v>0</v>
      </c>
      <c r="M124" s="19">
        <f t="shared" si="147"/>
        <v>0</v>
      </c>
      <c r="N124" s="41" t="s">
        <v>476</v>
      </c>
      <c r="Z124" s="19">
        <f t="shared" si="148"/>
        <v>0</v>
      </c>
      <c r="AB124" s="19">
        <f t="shared" si="149"/>
        <v>0</v>
      </c>
      <c r="AC124" s="19">
        <f t="shared" si="150"/>
        <v>0</v>
      </c>
      <c r="AD124" s="19">
        <f t="shared" si="151"/>
        <v>0</v>
      </c>
      <c r="AE124" s="19">
        <f t="shared" si="152"/>
        <v>0</v>
      </c>
      <c r="AF124" s="19">
        <f t="shared" si="153"/>
        <v>0</v>
      </c>
      <c r="AG124" s="19">
        <f t="shared" si="154"/>
        <v>0</v>
      </c>
      <c r="AH124" s="19">
        <f t="shared" si="155"/>
        <v>0</v>
      </c>
      <c r="AI124" s="51" t="s">
        <v>2</v>
      </c>
      <c r="AJ124" s="19">
        <f t="shared" si="156"/>
        <v>0</v>
      </c>
      <c r="AK124" s="19">
        <f t="shared" si="157"/>
        <v>0</v>
      </c>
      <c r="AL124" s="19">
        <f t="shared" si="158"/>
        <v>0</v>
      </c>
      <c r="AN124" s="19">
        <v>21</v>
      </c>
      <c r="AO124" s="19">
        <f t="shared" si="159"/>
        <v>0</v>
      </c>
      <c r="AP124" s="19">
        <f t="shared" si="160"/>
        <v>0</v>
      </c>
      <c r="AQ124" s="3" t="s">
        <v>300</v>
      </c>
      <c r="AV124" s="19">
        <f t="shared" si="161"/>
        <v>0</v>
      </c>
      <c r="AW124" s="19">
        <f t="shared" si="162"/>
        <v>0</v>
      </c>
      <c r="AX124" s="19">
        <f t="shared" si="163"/>
        <v>0</v>
      </c>
      <c r="AY124" s="3" t="s">
        <v>121</v>
      </c>
      <c r="AZ124" s="3" t="s">
        <v>72</v>
      </c>
      <c r="BA124" s="51" t="s">
        <v>503</v>
      </c>
      <c r="BC124" s="19">
        <f t="shared" si="164"/>
        <v>0</v>
      </c>
      <c r="BD124" s="19">
        <f t="shared" si="165"/>
        <v>0</v>
      </c>
      <c r="BE124" s="19">
        <v>0</v>
      </c>
      <c r="BF124" s="19">
        <f t="shared" si="166"/>
        <v>0</v>
      </c>
      <c r="BH124" s="19">
        <f t="shared" si="167"/>
        <v>0</v>
      </c>
      <c r="BI124" s="19">
        <f t="shared" si="168"/>
        <v>0</v>
      </c>
      <c r="BJ124" s="19">
        <f t="shared" si="169"/>
        <v>0</v>
      </c>
      <c r="BK124" s="19"/>
      <c r="BL124" s="19"/>
    </row>
    <row r="125" spans="1:64" ht="15" customHeight="1">
      <c r="A125" s="26" t="s">
        <v>314</v>
      </c>
      <c r="B125" s="21" t="s">
        <v>2</v>
      </c>
      <c r="C125" s="21" t="s">
        <v>439</v>
      </c>
      <c r="D125" s="64" t="s">
        <v>320</v>
      </c>
      <c r="E125" s="64"/>
      <c r="F125" s="21" t="s">
        <v>396</v>
      </c>
      <c r="G125" s="19">
        <v>1</v>
      </c>
      <c r="H125" s="19">
        <v>0</v>
      </c>
      <c r="I125" s="19">
        <f t="shared" si="144"/>
        <v>0</v>
      </c>
      <c r="J125" s="19">
        <f t="shared" si="145"/>
        <v>0</v>
      </c>
      <c r="K125" s="19">
        <f t="shared" si="146"/>
        <v>0</v>
      </c>
      <c r="L125" s="19">
        <v>0</v>
      </c>
      <c r="M125" s="19">
        <f t="shared" si="147"/>
        <v>0</v>
      </c>
      <c r="N125" s="41" t="s">
        <v>476</v>
      </c>
      <c r="Z125" s="19">
        <f t="shared" si="148"/>
        <v>0</v>
      </c>
      <c r="AB125" s="19">
        <f t="shared" si="149"/>
        <v>0</v>
      </c>
      <c r="AC125" s="19">
        <f t="shared" si="150"/>
        <v>0</v>
      </c>
      <c r="AD125" s="19">
        <f t="shared" si="151"/>
        <v>0</v>
      </c>
      <c r="AE125" s="19">
        <f t="shared" si="152"/>
        <v>0</v>
      </c>
      <c r="AF125" s="19">
        <f t="shared" si="153"/>
        <v>0</v>
      </c>
      <c r="AG125" s="19">
        <f t="shared" si="154"/>
        <v>0</v>
      </c>
      <c r="AH125" s="19">
        <f t="shared" si="155"/>
        <v>0</v>
      </c>
      <c r="AI125" s="51" t="s">
        <v>2</v>
      </c>
      <c r="AJ125" s="19">
        <f t="shared" si="156"/>
        <v>0</v>
      </c>
      <c r="AK125" s="19">
        <f t="shared" si="157"/>
        <v>0</v>
      </c>
      <c r="AL125" s="19">
        <f t="shared" si="158"/>
        <v>0</v>
      </c>
      <c r="AN125" s="19">
        <v>21</v>
      </c>
      <c r="AO125" s="19">
        <f t="shared" si="159"/>
        <v>0</v>
      </c>
      <c r="AP125" s="19">
        <f t="shared" si="160"/>
        <v>0</v>
      </c>
      <c r="AQ125" s="3" t="s">
        <v>300</v>
      </c>
      <c r="AV125" s="19">
        <f t="shared" si="161"/>
        <v>0</v>
      </c>
      <c r="AW125" s="19">
        <f t="shared" si="162"/>
        <v>0</v>
      </c>
      <c r="AX125" s="19">
        <f t="shared" si="163"/>
        <v>0</v>
      </c>
      <c r="AY125" s="3" t="s">
        <v>121</v>
      </c>
      <c r="AZ125" s="3" t="s">
        <v>72</v>
      </c>
      <c r="BA125" s="51" t="s">
        <v>503</v>
      </c>
      <c r="BC125" s="19">
        <f t="shared" si="164"/>
        <v>0</v>
      </c>
      <c r="BD125" s="19">
        <f t="shared" si="165"/>
        <v>0</v>
      </c>
      <c r="BE125" s="19">
        <v>0</v>
      </c>
      <c r="BF125" s="19">
        <f t="shared" si="166"/>
        <v>0</v>
      </c>
      <c r="BH125" s="19">
        <f t="shared" si="167"/>
        <v>0</v>
      </c>
      <c r="BI125" s="19">
        <f t="shared" si="168"/>
        <v>0</v>
      </c>
      <c r="BJ125" s="19">
        <f t="shared" si="169"/>
        <v>0</v>
      </c>
      <c r="BK125" s="19"/>
      <c r="BL125" s="19"/>
    </row>
    <row r="126" spans="1:64" ht="15" customHeight="1">
      <c r="A126" s="26" t="s">
        <v>64</v>
      </c>
      <c r="B126" s="21" t="s">
        <v>2</v>
      </c>
      <c r="C126" s="21" t="s">
        <v>546</v>
      </c>
      <c r="D126" s="64" t="s">
        <v>166</v>
      </c>
      <c r="E126" s="64"/>
      <c r="F126" s="21" t="s">
        <v>396</v>
      </c>
      <c r="G126" s="19">
        <v>1</v>
      </c>
      <c r="H126" s="19">
        <v>0</v>
      </c>
      <c r="I126" s="19">
        <f t="shared" si="144"/>
        <v>0</v>
      </c>
      <c r="J126" s="19">
        <f t="shared" si="145"/>
        <v>0</v>
      </c>
      <c r="K126" s="19">
        <f t="shared" si="146"/>
        <v>0</v>
      </c>
      <c r="L126" s="19">
        <v>0</v>
      </c>
      <c r="M126" s="19">
        <f t="shared" si="147"/>
        <v>0</v>
      </c>
      <c r="N126" s="41" t="s">
        <v>476</v>
      </c>
      <c r="Z126" s="19">
        <f t="shared" si="148"/>
        <v>0</v>
      </c>
      <c r="AB126" s="19">
        <f t="shared" si="149"/>
        <v>0</v>
      </c>
      <c r="AC126" s="19">
        <f t="shared" si="150"/>
        <v>0</v>
      </c>
      <c r="AD126" s="19">
        <f t="shared" si="151"/>
        <v>0</v>
      </c>
      <c r="AE126" s="19">
        <f t="shared" si="152"/>
        <v>0</v>
      </c>
      <c r="AF126" s="19">
        <f t="shared" si="153"/>
        <v>0</v>
      </c>
      <c r="AG126" s="19">
        <f t="shared" si="154"/>
        <v>0</v>
      </c>
      <c r="AH126" s="19">
        <f t="shared" si="155"/>
        <v>0</v>
      </c>
      <c r="AI126" s="51" t="s">
        <v>2</v>
      </c>
      <c r="AJ126" s="19">
        <f t="shared" si="156"/>
        <v>0</v>
      </c>
      <c r="AK126" s="19">
        <f t="shared" si="157"/>
        <v>0</v>
      </c>
      <c r="AL126" s="19">
        <f t="shared" si="158"/>
        <v>0</v>
      </c>
      <c r="AN126" s="19">
        <v>21</v>
      </c>
      <c r="AO126" s="19">
        <f t="shared" si="159"/>
        <v>0</v>
      </c>
      <c r="AP126" s="19">
        <f t="shared" si="160"/>
        <v>0</v>
      </c>
      <c r="AQ126" s="3" t="s">
        <v>300</v>
      </c>
      <c r="AV126" s="19">
        <f t="shared" si="161"/>
        <v>0</v>
      </c>
      <c r="AW126" s="19">
        <f t="shared" si="162"/>
        <v>0</v>
      </c>
      <c r="AX126" s="19">
        <f t="shared" si="163"/>
        <v>0</v>
      </c>
      <c r="AY126" s="3" t="s">
        <v>121</v>
      </c>
      <c r="AZ126" s="3" t="s">
        <v>72</v>
      </c>
      <c r="BA126" s="51" t="s">
        <v>503</v>
      </c>
      <c r="BC126" s="19">
        <f t="shared" si="164"/>
        <v>0</v>
      </c>
      <c r="BD126" s="19">
        <f t="shared" si="165"/>
        <v>0</v>
      </c>
      <c r="BE126" s="19">
        <v>0</v>
      </c>
      <c r="BF126" s="19">
        <f t="shared" si="166"/>
        <v>0</v>
      </c>
      <c r="BH126" s="19">
        <f t="shared" si="167"/>
        <v>0</v>
      </c>
      <c r="BI126" s="19">
        <f t="shared" si="168"/>
        <v>0</v>
      </c>
      <c r="BJ126" s="19">
        <f t="shared" si="169"/>
        <v>0</v>
      </c>
      <c r="BK126" s="19"/>
      <c r="BL126" s="19"/>
    </row>
    <row r="127" spans="1:64" ht="15" customHeight="1">
      <c r="A127" s="26" t="s">
        <v>398</v>
      </c>
      <c r="B127" s="21" t="s">
        <v>2</v>
      </c>
      <c r="C127" s="21" t="s">
        <v>178</v>
      </c>
      <c r="D127" s="64" t="s">
        <v>312</v>
      </c>
      <c r="E127" s="64"/>
      <c r="F127" s="21" t="s">
        <v>396</v>
      </c>
      <c r="G127" s="19">
        <v>1</v>
      </c>
      <c r="H127" s="19">
        <v>0</v>
      </c>
      <c r="I127" s="19">
        <f t="shared" si="144"/>
        <v>0</v>
      </c>
      <c r="J127" s="19">
        <f t="shared" si="145"/>
        <v>0</v>
      </c>
      <c r="K127" s="19">
        <f t="shared" si="146"/>
        <v>0</v>
      </c>
      <c r="L127" s="19">
        <v>0</v>
      </c>
      <c r="M127" s="19">
        <f t="shared" si="147"/>
        <v>0</v>
      </c>
      <c r="N127" s="41" t="s">
        <v>476</v>
      </c>
      <c r="Z127" s="19">
        <f t="shared" si="148"/>
        <v>0</v>
      </c>
      <c r="AB127" s="19">
        <f t="shared" si="149"/>
        <v>0</v>
      </c>
      <c r="AC127" s="19">
        <f t="shared" si="150"/>
        <v>0</v>
      </c>
      <c r="AD127" s="19">
        <f t="shared" si="151"/>
        <v>0</v>
      </c>
      <c r="AE127" s="19">
        <f t="shared" si="152"/>
        <v>0</v>
      </c>
      <c r="AF127" s="19">
        <f t="shared" si="153"/>
        <v>0</v>
      </c>
      <c r="AG127" s="19">
        <f t="shared" si="154"/>
        <v>0</v>
      </c>
      <c r="AH127" s="19">
        <f t="shared" si="155"/>
        <v>0</v>
      </c>
      <c r="AI127" s="51" t="s">
        <v>2</v>
      </c>
      <c r="AJ127" s="19">
        <f t="shared" si="156"/>
        <v>0</v>
      </c>
      <c r="AK127" s="19">
        <f t="shared" si="157"/>
        <v>0</v>
      </c>
      <c r="AL127" s="19">
        <f t="shared" si="158"/>
        <v>0</v>
      </c>
      <c r="AN127" s="19">
        <v>21</v>
      </c>
      <c r="AO127" s="19">
        <f t="shared" si="159"/>
        <v>0</v>
      </c>
      <c r="AP127" s="19">
        <f t="shared" si="160"/>
        <v>0</v>
      </c>
      <c r="AQ127" s="3" t="s">
        <v>300</v>
      </c>
      <c r="AV127" s="19">
        <f t="shared" si="161"/>
        <v>0</v>
      </c>
      <c r="AW127" s="19">
        <f t="shared" si="162"/>
        <v>0</v>
      </c>
      <c r="AX127" s="19">
        <f t="shared" si="163"/>
        <v>0</v>
      </c>
      <c r="AY127" s="3" t="s">
        <v>121</v>
      </c>
      <c r="AZ127" s="3" t="s">
        <v>72</v>
      </c>
      <c r="BA127" s="51" t="s">
        <v>503</v>
      </c>
      <c r="BC127" s="19">
        <f t="shared" si="164"/>
        <v>0</v>
      </c>
      <c r="BD127" s="19">
        <f t="shared" si="165"/>
        <v>0</v>
      </c>
      <c r="BE127" s="19">
        <v>0</v>
      </c>
      <c r="BF127" s="19">
        <f t="shared" si="166"/>
        <v>0</v>
      </c>
      <c r="BH127" s="19">
        <f t="shared" si="167"/>
        <v>0</v>
      </c>
      <c r="BI127" s="19">
        <f t="shared" si="168"/>
        <v>0</v>
      </c>
      <c r="BJ127" s="19">
        <f t="shared" si="169"/>
        <v>0</v>
      </c>
      <c r="BK127" s="19"/>
      <c r="BL127" s="19"/>
    </row>
    <row r="128" spans="1:64" ht="15" customHeight="1">
      <c r="A128" s="26" t="s">
        <v>269</v>
      </c>
      <c r="B128" s="21" t="s">
        <v>2</v>
      </c>
      <c r="C128" s="21" t="s">
        <v>95</v>
      </c>
      <c r="D128" s="64" t="s">
        <v>336</v>
      </c>
      <c r="E128" s="64"/>
      <c r="F128" s="21" t="s">
        <v>396</v>
      </c>
      <c r="G128" s="19">
        <v>2</v>
      </c>
      <c r="H128" s="19">
        <v>0</v>
      </c>
      <c r="I128" s="19">
        <f t="shared" si="144"/>
        <v>0</v>
      </c>
      <c r="J128" s="19">
        <f t="shared" si="145"/>
        <v>0</v>
      </c>
      <c r="K128" s="19">
        <f t="shared" si="146"/>
        <v>0</v>
      </c>
      <c r="L128" s="19">
        <v>0</v>
      </c>
      <c r="M128" s="19">
        <f t="shared" si="147"/>
        <v>0</v>
      </c>
      <c r="N128" s="41" t="s">
        <v>476</v>
      </c>
      <c r="Z128" s="19">
        <f t="shared" si="148"/>
        <v>0</v>
      </c>
      <c r="AB128" s="19">
        <f t="shared" si="149"/>
        <v>0</v>
      </c>
      <c r="AC128" s="19">
        <f t="shared" si="150"/>
        <v>0</v>
      </c>
      <c r="AD128" s="19">
        <f t="shared" si="151"/>
        <v>0</v>
      </c>
      <c r="AE128" s="19">
        <f t="shared" si="152"/>
        <v>0</v>
      </c>
      <c r="AF128" s="19">
        <f t="shared" si="153"/>
        <v>0</v>
      </c>
      <c r="AG128" s="19">
        <f t="shared" si="154"/>
        <v>0</v>
      </c>
      <c r="AH128" s="19">
        <f t="shared" si="155"/>
        <v>0</v>
      </c>
      <c r="AI128" s="51" t="s">
        <v>2</v>
      </c>
      <c r="AJ128" s="19">
        <f t="shared" si="156"/>
        <v>0</v>
      </c>
      <c r="AK128" s="19">
        <f t="shared" si="157"/>
        <v>0</v>
      </c>
      <c r="AL128" s="19">
        <f t="shared" si="158"/>
        <v>0</v>
      </c>
      <c r="AN128" s="19">
        <v>21</v>
      </c>
      <c r="AO128" s="19">
        <f t="shared" si="159"/>
        <v>0</v>
      </c>
      <c r="AP128" s="19">
        <f t="shared" si="160"/>
        <v>0</v>
      </c>
      <c r="AQ128" s="3" t="s">
        <v>300</v>
      </c>
      <c r="AV128" s="19">
        <f t="shared" si="161"/>
        <v>0</v>
      </c>
      <c r="AW128" s="19">
        <f t="shared" si="162"/>
        <v>0</v>
      </c>
      <c r="AX128" s="19">
        <f t="shared" si="163"/>
        <v>0</v>
      </c>
      <c r="AY128" s="3" t="s">
        <v>121</v>
      </c>
      <c r="AZ128" s="3" t="s">
        <v>72</v>
      </c>
      <c r="BA128" s="51" t="s">
        <v>503</v>
      </c>
      <c r="BC128" s="19">
        <f t="shared" si="164"/>
        <v>0</v>
      </c>
      <c r="BD128" s="19">
        <f t="shared" si="165"/>
        <v>0</v>
      </c>
      <c r="BE128" s="19">
        <v>0</v>
      </c>
      <c r="BF128" s="19">
        <f t="shared" si="166"/>
        <v>0</v>
      </c>
      <c r="BH128" s="19">
        <f t="shared" si="167"/>
        <v>0</v>
      </c>
      <c r="BI128" s="19">
        <f t="shared" si="168"/>
        <v>0</v>
      </c>
      <c r="BJ128" s="19">
        <f t="shared" si="169"/>
        <v>0</v>
      </c>
      <c r="BK128" s="19"/>
      <c r="BL128" s="19"/>
    </row>
    <row r="129" spans="1:64" ht="15" customHeight="1">
      <c r="A129" s="26" t="s">
        <v>466</v>
      </c>
      <c r="B129" s="21" t="s">
        <v>2</v>
      </c>
      <c r="C129" s="21" t="s">
        <v>444</v>
      </c>
      <c r="D129" s="64" t="s">
        <v>422</v>
      </c>
      <c r="E129" s="64"/>
      <c r="F129" s="21" t="s">
        <v>442</v>
      </c>
      <c r="G129" s="19">
        <v>1</v>
      </c>
      <c r="H129" s="19">
        <v>0</v>
      </c>
      <c r="I129" s="19">
        <f t="shared" si="144"/>
        <v>0</v>
      </c>
      <c r="J129" s="19">
        <f t="shared" si="145"/>
        <v>0</v>
      </c>
      <c r="K129" s="19">
        <f t="shared" si="146"/>
        <v>0</v>
      </c>
      <c r="L129" s="19">
        <v>0</v>
      </c>
      <c r="M129" s="19">
        <f t="shared" si="147"/>
        <v>0</v>
      </c>
      <c r="N129" s="41" t="s">
        <v>476</v>
      </c>
      <c r="Z129" s="19">
        <f t="shared" si="148"/>
        <v>0</v>
      </c>
      <c r="AB129" s="19">
        <f t="shared" si="149"/>
        <v>0</v>
      </c>
      <c r="AC129" s="19">
        <f t="shared" si="150"/>
        <v>0</v>
      </c>
      <c r="AD129" s="19">
        <f t="shared" si="151"/>
        <v>0</v>
      </c>
      <c r="AE129" s="19">
        <f t="shared" si="152"/>
        <v>0</v>
      </c>
      <c r="AF129" s="19">
        <f t="shared" si="153"/>
        <v>0</v>
      </c>
      <c r="AG129" s="19">
        <f t="shared" si="154"/>
        <v>0</v>
      </c>
      <c r="AH129" s="19">
        <f t="shared" si="155"/>
        <v>0</v>
      </c>
      <c r="AI129" s="51" t="s">
        <v>2</v>
      </c>
      <c r="AJ129" s="19">
        <f t="shared" si="156"/>
        <v>0</v>
      </c>
      <c r="AK129" s="19">
        <f t="shared" si="157"/>
        <v>0</v>
      </c>
      <c r="AL129" s="19">
        <f t="shared" si="158"/>
        <v>0</v>
      </c>
      <c r="AN129" s="19">
        <v>21</v>
      </c>
      <c r="AO129" s="19">
        <f t="shared" si="159"/>
        <v>0</v>
      </c>
      <c r="AP129" s="19">
        <f t="shared" si="160"/>
        <v>0</v>
      </c>
      <c r="AQ129" s="3" t="s">
        <v>300</v>
      </c>
      <c r="AV129" s="19">
        <f t="shared" si="161"/>
        <v>0</v>
      </c>
      <c r="AW129" s="19">
        <f t="shared" si="162"/>
        <v>0</v>
      </c>
      <c r="AX129" s="19">
        <f t="shared" si="163"/>
        <v>0</v>
      </c>
      <c r="AY129" s="3" t="s">
        <v>121</v>
      </c>
      <c r="AZ129" s="3" t="s">
        <v>72</v>
      </c>
      <c r="BA129" s="51" t="s">
        <v>503</v>
      </c>
      <c r="BC129" s="19">
        <f t="shared" si="164"/>
        <v>0</v>
      </c>
      <c r="BD129" s="19">
        <f t="shared" si="165"/>
        <v>0</v>
      </c>
      <c r="BE129" s="19">
        <v>0</v>
      </c>
      <c r="BF129" s="19">
        <f t="shared" si="166"/>
        <v>0</v>
      </c>
      <c r="BH129" s="19">
        <f t="shared" si="167"/>
        <v>0</v>
      </c>
      <c r="BI129" s="19">
        <f t="shared" si="168"/>
        <v>0</v>
      </c>
      <c r="BJ129" s="19">
        <f t="shared" si="169"/>
        <v>0</v>
      </c>
      <c r="BK129" s="19"/>
      <c r="BL129" s="19"/>
    </row>
    <row r="130" spans="1:64" ht="15" customHeight="1">
      <c r="A130" s="26" t="s">
        <v>521</v>
      </c>
      <c r="B130" s="21" t="s">
        <v>2</v>
      </c>
      <c r="C130" s="21" t="s">
        <v>418</v>
      </c>
      <c r="D130" s="64" t="s">
        <v>548</v>
      </c>
      <c r="E130" s="64"/>
      <c r="F130" s="21" t="s">
        <v>442</v>
      </c>
      <c r="G130" s="19">
        <v>1</v>
      </c>
      <c r="H130" s="19">
        <v>0</v>
      </c>
      <c r="I130" s="19">
        <f t="shared" si="144"/>
        <v>0</v>
      </c>
      <c r="J130" s="19">
        <f t="shared" si="145"/>
        <v>0</v>
      </c>
      <c r="K130" s="19">
        <f t="shared" si="146"/>
        <v>0</v>
      </c>
      <c r="L130" s="19">
        <v>0</v>
      </c>
      <c r="M130" s="19">
        <f t="shared" si="147"/>
        <v>0</v>
      </c>
      <c r="N130" s="41" t="s">
        <v>476</v>
      </c>
      <c r="Z130" s="19">
        <f t="shared" si="148"/>
        <v>0</v>
      </c>
      <c r="AB130" s="19">
        <f t="shared" si="149"/>
        <v>0</v>
      </c>
      <c r="AC130" s="19">
        <f t="shared" si="150"/>
        <v>0</v>
      </c>
      <c r="AD130" s="19">
        <f t="shared" si="151"/>
        <v>0</v>
      </c>
      <c r="AE130" s="19">
        <f t="shared" si="152"/>
        <v>0</v>
      </c>
      <c r="AF130" s="19">
        <f t="shared" si="153"/>
        <v>0</v>
      </c>
      <c r="AG130" s="19">
        <f t="shared" si="154"/>
        <v>0</v>
      </c>
      <c r="AH130" s="19">
        <f t="shared" si="155"/>
        <v>0</v>
      </c>
      <c r="AI130" s="51" t="s">
        <v>2</v>
      </c>
      <c r="AJ130" s="19">
        <f t="shared" si="156"/>
        <v>0</v>
      </c>
      <c r="AK130" s="19">
        <f t="shared" si="157"/>
        <v>0</v>
      </c>
      <c r="AL130" s="19">
        <f t="shared" si="158"/>
        <v>0</v>
      </c>
      <c r="AN130" s="19">
        <v>21</v>
      </c>
      <c r="AO130" s="19">
        <f t="shared" si="159"/>
        <v>0</v>
      </c>
      <c r="AP130" s="19">
        <f t="shared" si="160"/>
        <v>0</v>
      </c>
      <c r="AQ130" s="3" t="s">
        <v>300</v>
      </c>
      <c r="AV130" s="19">
        <f t="shared" si="161"/>
        <v>0</v>
      </c>
      <c r="AW130" s="19">
        <f t="shared" si="162"/>
        <v>0</v>
      </c>
      <c r="AX130" s="19">
        <f t="shared" si="163"/>
        <v>0</v>
      </c>
      <c r="AY130" s="3" t="s">
        <v>121</v>
      </c>
      <c r="AZ130" s="3" t="s">
        <v>72</v>
      </c>
      <c r="BA130" s="51" t="s">
        <v>503</v>
      </c>
      <c r="BC130" s="19">
        <f t="shared" si="164"/>
        <v>0</v>
      </c>
      <c r="BD130" s="19">
        <f t="shared" si="165"/>
        <v>0</v>
      </c>
      <c r="BE130" s="19">
        <v>0</v>
      </c>
      <c r="BF130" s="19">
        <f t="shared" si="166"/>
        <v>0</v>
      </c>
      <c r="BH130" s="19">
        <f t="shared" si="167"/>
        <v>0</v>
      </c>
      <c r="BI130" s="19">
        <f t="shared" si="168"/>
        <v>0</v>
      </c>
      <c r="BJ130" s="19">
        <f t="shared" si="169"/>
        <v>0</v>
      </c>
      <c r="BK130" s="19"/>
      <c r="BL130" s="19"/>
    </row>
    <row r="131" spans="1:64" ht="15" customHeight="1">
      <c r="A131" s="26" t="s">
        <v>498</v>
      </c>
      <c r="B131" s="21" t="s">
        <v>2</v>
      </c>
      <c r="C131" s="21" t="s">
        <v>506</v>
      </c>
      <c r="D131" s="64" t="s">
        <v>295</v>
      </c>
      <c r="E131" s="64"/>
      <c r="F131" s="21" t="s">
        <v>442</v>
      </c>
      <c r="G131" s="19">
        <v>1</v>
      </c>
      <c r="H131" s="19">
        <v>0</v>
      </c>
      <c r="I131" s="19">
        <f t="shared" si="144"/>
        <v>0</v>
      </c>
      <c r="J131" s="19">
        <f t="shared" si="145"/>
        <v>0</v>
      </c>
      <c r="K131" s="19">
        <f t="shared" si="146"/>
        <v>0</v>
      </c>
      <c r="L131" s="19">
        <v>0</v>
      </c>
      <c r="M131" s="19">
        <f t="shared" si="147"/>
        <v>0</v>
      </c>
      <c r="N131" s="41" t="s">
        <v>476</v>
      </c>
      <c r="Z131" s="19">
        <f t="shared" si="148"/>
        <v>0</v>
      </c>
      <c r="AB131" s="19">
        <f t="shared" si="149"/>
        <v>0</v>
      </c>
      <c r="AC131" s="19">
        <f t="shared" si="150"/>
        <v>0</v>
      </c>
      <c r="AD131" s="19">
        <f t="shared" si="151"/>
        <v>0</v>
      </c>
      <c r="AE131" s="19">
        <f t="shared" si="152"/>
        <v>0</v>
      </c>
      <c r="AF131" s="19">
        <f t="shared" si="153"/>
        <v>0</v>
      </c>
      <c r="AG131" s="19">
        <f t="shared" si="154"/>
        <v>0</v>
      </c>
      <c r="AH131" s="19">
        <f t="shared" si="155"/>
        <v>0</v>
      </c>
      <c r="AI131" s="51" t="s">
        <v>2</v>
      </c>
      <c r="AJ131" s="19">
        <f t="shared" si="156"/>
        <v>0</v>
      </c>
      <c r="AK131" s="19">
        <f t="shared" si="157"/>
        <v>0</v>
      </c>
      <c r="AL131" s="19">
        <f t="shared" si="158"/>
        <v>0</v>
      </c>
      <c r="AN131" s="19">
        <v>21</v>
      </c>
      <c r="AO131" s="19">
        <f t="shared" si="159"/>
        <v>0</v>
      </c>
      <c r="AP131" s="19">
        <f t="shared" si="160"/>
        <v>0</v>
      </c>
      <c r="AQ131" s="3" t="s">
        <v>300</v>
      </c>
      <c r="AV131" s="19">
        <f t="shared" si="161"/>
        <v>0</v>
      </c>
      <c r="AW131" s="19">
        <f t="shared" si="162"/>
        <v>0</v>
      </c>
      <c r="AX131" s="19">
        <f t="shared" si="163"/>
        <v>0</v>
      </c>
      <c r="AY131" s="3" t="s">
        <v>121</v>
      </c>
      <c r="AZ131" s="3" t="s">
        <v>72</v>
      </c>
      <c r="BA131" s="51" t="s">
        <v>503</v>
      </c>
      <c r="BC131" s="19">
        <f t="shared" si="164"/>
        <v>0</v>
      </c>
      <c r="BD131" s="19">
        <f t="shared" si="165"/>
        <v>0</v>
      </c>
      <c r="BE131" s="19">
        <v>0</v>
      </c>
      <c r="BF131" s="19">
        <f t="shared" si="166"/>
        <v>0</v>
      </c>
      <c r="BH131" s="19">
        <f t="shared" si="167"/>
        <v>0</v>
      </c>
      <c r="BI131" s="19">
        <f t="shared" si="168"/>
        <v>0</v>
      </c>
      <c r="BJ131" s="19">
        <f t="shared" si="169"/>
        <v>0</v>
      </c>
      <c r="BK131" s="19"/>
      <c r="BL131" s="19"/>
    </row>
    <row r="132" spans="1:64" ht="15" customHeight="1">
      <c r="A132" s="26" t="s">
        <v>11</v>
      </c>
      <c r="B132" s="21" t="s">
        <v>2</v>
      </c>
      <c r="C132" s="21" t="s">
        <v>193</v>
      </c>
      <c r="D132" s="64" t="s">
        <v>195</v>
      </c>
      <c r="E132" s="64"/>
      <c r="F132" s="21" t="s">
        <v>442</v>
      </c>
      <c r="G132" s="19">
        <v>1</v>
      </c>
      <c r="H132" s="19">
        <v>0</v>
      </c>
      <c r="I132" s="19">
        <f t="shared" si="144"/>
        <v>0</v>
      </c>
      <c r="J132" s="19">
        <f t="shared" si="145"/>
        <v>0</v>
      </c>
      <c r="K132" s="19">
        <f t="shared" si="146"/>
        <v>0</v>
      </c>
      <c r="L132" s="19">
        <v>0</v>
      </c>
      <c r="M132" s="19">
        <f t="shared" si="147"/>
        <v>0</v>
      </c>
      <c r="N132" s="41" t="s">
        <v>476</v>
      </c>
      <c r="Z132" s="19">
        <f t="shared" si="148"/>
        <v>0</v>
      </c>
      <c r="AB132" s="19">
        <f t="shared" si="149"/>
        <v>0</v>
      </c>
      <c r="AC132" s="19">
        <f t="shared" si="150"/>
        <v>0</v>
      </c>
      <c r="AD132" s="19">
        <f t="shared" si="151"/>
        <v>0</v>
      </c>
      <c r="AE132" s="19">
        <f t="shared" si="152"/>
        <v>0</v>
      </c>
      <c r="AF132" s="19">
        <f t="shared" si="153"/>
        <v>0</v>
      </c>
      <c r="AG132" s="19">
        <f t="shared" si="154"/>
        <v>0</v>
      </c>
      <c r="AH132" s="19">
        <f t="shared" si="155"/>
        <v>0</v>
      </c>
      <c r="AI132" s="51" t="s">
        <v>2</v>
      </c>
      <c r="AJ132" s="19">
        <f t="shared" si="156"/>
        <v>0</v>
      </c>
      <c r="AK132" s="19">
        <f t="shared" si="157"/>
        <v>0</v>
      </c>
      <c r="AL132" s="19">
        <f t="shared" si="158"/>
        <v>0</v>
      </c>
      <c r="AN132" s="19">
        <v>21</v>
      </c>
      <c r="AO132" s="19">
        <f t="shared" si="159"/>
        <v>0</v>
      </c>
      <c r="AP132" s="19">
        <f t="shared" si="160"/>
        <v>0</v>
      </c>
      <c r="AQ132" s="3" t="s">
        <v>300</v>
      </c>
      <c r="AV132" s="19">
        <f t="shared" si="161"/>
        <v>0</v>
      </c>
      <c r="AW132" s="19">
        <f t="shared" si="162"/>
        <v>0</v>
      </c>
      <c r="AX132" s="19">
        <f t="shared" si="163"/>
        <v>0</v>
      </c>
      <c r="AY132" s="3" t="s">
        <v>121</v>
      </c>
      <c r="AZ132" s="3" t="s">
        <v>72</v>
      </c>
      <c r="BA132" s="51" t="s">
        <v>503</v>
      </c>
      <c r="BC132" s="19">
        <f t="shared" si="164"/>
        <v>0</v>
      </c>
      <c r="BD132" s="19">
        <f t="shared" si="165"/>
        <v>0</v>
      </c>
      <c r="BE132" s="19">
        <v>0</v>
      </c>
      <c r="BF132" s="19">
        <f t="shared" si="166"/>
        <v>0</v>
      </c>
      <c r="BH132" s="19">
        <f t="shared" si="167"/>
        <v>0</v>
      </c>
      <c r="BI132" s="19">
        <f t="shared" si="168"/>
        <v>0</v>
      </c>
      <c r="BJ132" s="19">
        <f t="shared" si="169"/>
        <v>0</v>
      </c>
      <c r="BK132" s="19"/>
      <c r="BL132" s="19"/>
    </row>
    <row r="133" spans="1:64" ht="15" customHeight="1">
      <c r="A133" s="26" t="s">
        <v>220</v>
      </c>
      <c r="B133" s="21" t="s">
        <v>2</v>
      </c>
      <c r="C133" s="21" t="s">
        <v>8</v>
      </c>
      <c r="D133" s="64" t="s">
        <v>470</v>
      </c>
      <c r="E133" s="64"/>
      <c r="F133" s="21" t="s">
        <v>396</v>
      </c>
      <c r="G133" s="19">
        <v>2</v>
      </c>
      <c r="H133" s="19">
        <v>0</v>
      </c>
      <c r="I133" s="19">
        <f t="shared" si="144"/>
        <v>0</v>
      </c>
      <c r="J133" s="19">
        <f t="shared" si="145"/>
        <v>0</v>
      </c>
      <c r="K133" s="19">
        <f t="shared" si="146"/>
        <v>0</v>
      </c>
      <c r="L133" s="19">
        <v>0</v>
      </c>
      <c r="M133" s="19">
        <f t="shared" si="147"/>
        <v>0</v>
      </c>
      <c r="N133" s="41" t="s">
        <v>476</v>
      </c>
      <c r="Z133" s="19">
        <f t="shared" si="148"/>
        <v>0</v>
      </c>
      <c r="AB133" s="19">
        <f t="shared" si="149"/>
        <v>0</v>
      </c>
      <c r="AC133" s="19">
        <f t="shared" si="150"/>
        <v>0</v>
      </c>
      <c r="AD133" s="19">
        <f t="shared" si="151"/>
        <v>0</v>
      </c>
      <c r="AE133" s="19">
        <f t="shared" si="152"/>
        <v>0</v>
      </c>
      <c r="AF133" s="19">
        <f t="shared" si="153"/>
        <v>0</v>
      </c>
      <c r="AG133" s="19">
        <f t="shared" si="154"/>
        <v>0</v>
      </c>
      <c r="AH133" s="19">
        <f t="shared" si="155"/>
        <v>0</v>
      </c>
      <c r="AI133" s="51" t="s">
        <v>2</v>
      </c>
      <c r="AJ133" s="19">
        <f t="shared" si="156"/>
        <v>0</v>
      </c>
      <c r="AK133" s="19">
        <f t="shared" si="157"/>
        <v>0</v>
      </c>
      <c r="AL133" s="19">
        <f t="shared" si="158"/>
        <v>0</v>
      </c>
      <c r="AN133" s="19">
        <v>21</v>
      </c>
      <c r="AO133" s="19">
        <f t="shared" si="159"/>
        <v>0</v>
      </c>
      <c r="AP133" s="19">
        <f t="shared" si="160"/>
        <v>0</v>
      </c>
      <c r="AQ133" s="3" t="s">
        <v>300</v>
      </c>
      <c r="AV133" s="19">
        <f t="shared" si="161"/>
        <v>0</v>
      </c>
      <c r="AW133" s="19">
        <f t="shared" si="162"/>
        <v>0</v>
      </c>
      <c r="AX133" s="19">
        <f t="shared" si="163"/>
        <v>0</v>
      </c>
      <c r="AY133" s="3" t="s">
        <v>121</v>
      </c>
      <c r="AZ133" s="3" t="s">
        <v>72</v>
      </c>
      <c r="BA133" s="51" t="s">
        <v>503</v>
      </c>
      <c r="BC133" s="19">
        <f t="shared" si="164"/>
        <v>0</v>
      </c>
      <c r="BD133" s="19">
        <f t="shared" si="165"/>
        <v>0</v>
      </c>
      <c r="BE133" s="19">
        <v>0</v>
      </c>
      <c r="BF133" s="19">
        <f t="shared" si="166"/>
        <v>0</v>
      </c>
      <c r="BH133" s="19">
        <f t="shared" si="167"/>
        <v>0</v>
      </c>
      <c r="BI133" s="19">
        <f t="shared" si="168"/>
        <v>0</v>
      </c>
      <c r="BJ133" s="19">
        <f t="shared" si="169"/>
        <v>0</v>
      </c>
      <c r="BK133" s="19"/>
      <c r="BL133" s="19"/>
    </row>
    <row r="134" spans="1:64" ht="15" customHeight="1">
      <c r="A134" s="26" t="s">
        <v>76</v>
      </c>
      <c r="B134" s="21" t="s">
        <v>2</v>
      </c>
      <c r="C134" s="21" t="s">
        <v>413</v>
      </c>
      <c r="D134" s="64" t="s">
        <v>429</v>
      </c>
      <c r="E134" s="64"/>
      <c r="F134" s="21" t="s">
        <v>396</v>
      </c>
      <c r="G134" s="19">
        <v>2</v>
      </c>
      <c r="H134" s="19">
        <v>0</v>
      </c>
      <c r="I134" s="19">
        <f t="shared" si="144"/>
        <v>0</v>
      </c>
      <c r="J134" s="19">
        <f t="shared" si="145"/>
        <v>0</v>
      </c>
      <c r="K134" s="19">
        <f t="shared" si="146"/>
        <v>0</v>
      </c>
      <c r="L134" s="19">
        <v>0</v>
      </c>
      <c r="M134" s="19">
        <f t="shared" si="147"/>
        <v>0</v>
      </c>
      <c r="N134" s="41" t="s">
        <v>476</v>
      </c>
      <c r="Z134" s="19">
        <f t="shared" si="148"/>
        <v>0</v>
      </c>
      <c r="AB134" s="19">
        <f t="shared" si="149"/>
        <v>0</v>
      </c>
      <c r="AC134" s="19">
        <f t="shared" si="150"/>
        <v>0</v>
      </c>
      <c r="AD134" s="19">
        <f t="shared" si="151"/>
        <v>0</v>
      </c>
      <c r="AE134" s="19">
        <f t="shared" si="152"/>
        <v>0</v>
      </c>
      <c r="AF134" s="19">
        <f t="shared" si="153"/>
        <v>0</v>
      </c>
      <c r="AG134" s="19">
        <f t="shared" si="154"/>
        <v>0</v>
      </c>
      <c r="AH134" s="19">
        <f t="shared" si="155"/>
        <v>0</v>
      </c>
      <c r="AI134" s="51" t="s">
        <v>2</v>
      </c>
      <c r="AJ134" s="19">
        <f t="shared" si="156"/>
        <v>0</v>
      </c>
      <c r="AK134" s="19">
        <f t="shared" si="157"/>
        <v>0</v>
      </c>
      <c r="AL134" s="19">
        <f t="shared" si="158"/>
        <v>0</v>
      </c>
      <c r="AN134" s="19">
        <v>21</v>
      </c>
      <c r="AO134" s="19">
        <f t="shared" si="159"/>
        <v>0</v>
      </c>
      <c r="AP134" s="19">
        <f t="shared" si="160"/>
        <v>0</v>
      </c>
      <c r="AQ134" s="3" t="s">
        <v>300</v>
      </c>
      <c r="AV134" s="19">
        <f t="shared" si="161"/>
        <v>0</v>
      </c>
      <c r="AW134" s="19">
        <f t="shared" si="162"/>
        <v>0</v>
      </c>
      <c r="AX134" s="19">
        <f t="shared" si="163"/>
        <v>0</v>
      </c>
      <c r="AY134" s="3" t="s">
        <v>121</v>
      </c>
      <c r="AZ134" s="3" t="s">
        <v>72</v>
      </c>
      <c r="BA134" s="51" t="s">
        <v>503</v>
      </c>
      <c r="BC134" s="19">
        <f t="shared" si="164"/>
        <v>0</v>
      </c>
      <c r="BD134" s="19">
        <f t="shared" si="165"/>
        <v>0</v>
      </c>
      <c r="BE134" s="19">
        <v>0</v>
      </c>
      <c r="BF134" s="19">
        <f t="shared" si="166"/>
        <v>0</v>
      </c>
      <c r="BH134" s="19">
        <f t="shared" si="167"/>
        <v>0</v>
      </c>
      <c r="BI134" s="19">
        <f t="shared" si="168"/>
        <v>0</v>
      </c>
      <c r="BJ134" s="19">
        <f t="shared" si="169"/>
        <v>0</v>
      </c>
      <c r="BK134" s="19"/>
      <c r="BL134" s="19"/>
    </row>
    <row r="135" spans="1:64" ht="15" customHeight="1">
      <c r="A135" s="26" t="s">
        <v>631</v>
      </c>
      <c r="B135" s="21" t="s">
        <v>2</v>
      </c>
      <c r="C135" s="21" t="s">
        <v>236</v>
      </c>
      <c r="D135" s="64" t="s">
        <v>533</v>
      </c>
      <c r="E135" s="64"/>
      <c r="F135" s="21" t="s">
        <v>442</v>
      </c>
      <c r="G135" s="19">
        <v>1</v>
      </c>
      <c r="H135" s="19">
        <v>0</v>
      </c>
      <c r="I135" s="19">
        <f t="shared" si="144"/>
        <v>0</v>
      </c>
      <c r="J135" s="19">
        <f t="shared" si="145"/>
        <v>0</v>
      </c>
      <c r="K135" s="19">
        <f t="shared" si="146"/>
        <v>0</v>
      </c>
      <c r="L135" s="19">
        <v>0</v>
      </c>
      <c r="M135" s="19">
        <f t="shared" si="147"/>
        <v>0</v>
      </c>
      <c r="N135" s="41" t="s">
        <v>476</v>
      </c>
      <c r="Z135" s="19">
        <f t="shared" si="148"/>
        <v>0</v>
      </c>
      <c r="AB135" s="19">
        <f t="shared" si="149"/>
        <v>0</v>
      </c>
      <c r="AC135" s="19">
        <f t="shared" si="150"/>
        <v>0</v>
      </c>
      <c r="AD135" s="19">
        <f t="shared" si="151"/>
        <v>0</v>
      </c>
      <c r="AE135" s="19">
        <f t="shared" si="152"/>
        <v>0</v>
      </c>
      <c r="AF135" s="19">
        <f t="shared" si="153"/>
        <v>0</v>
      </c>
      <c r="AG135" s="19">
        <f t="shared" si="154"/>
        <v>0</v>
      </c>
      <c r="AH135" s="19">
        <f t="shared" si="155"/>
        <v>0</v>
      </c>
      <c r="AI135" s="51" t="s">
        <v>2</v>
      </c>
      <c r="AJ135" s="19">
        <f t="shared" si="156"/>
        <v>0</v>
      </c>
      <c r="AK135" s="19">
        <f t="shared" si="157"/>
        <v>0</v>
      </c>
      <c r="AL135" s="19">
        <f t="shared" si="158"/>
        <v>0</v>
      </c>
      <c r="AN135" s="19">
        <v>21</v>
      </c>
      <c r="AO135" s="19">
        <f t="shared" si="159"/>
        <v>0</v>
      </c>
      <c r="AP135" s="19">
        <f t="shared" si="160"/>
        <v>0</v>
      </c>
      <c r="AQ135" s="3" t="s">
        <v>300</v>
      </c>
      <c r="AV135" s="19">
        <f t="shared" si="161"/>
        <v>0</v>
      </c>
      <c r="AW135" s="19">
        <f t="shared" si="162"/>
        <v>0</v>
      </c>
      <c r="AX135" s="19">
        <f t="shared" si="163"/>
        <v>0</v>
      </c>
      <c r="AY135" s="3" t="s">
        <v>121</v>
      </c>
      <c r="AZ135" s="3" t="s">
        <v>72</v>
      </c>
      <c r="BA135" s="51" t="s">
        <v>503</v>
      </c>
      <c r="BC135" s="19">
        <f t="shared" si="164"/>
        <v>0</v>
      </c>
      <c r="BD135" s="19">
        <f t="shared" si="165"/>
        <v>0</v>
      </c>
      <c r="BE135" s="19">
        <v>0</v>
      </c>
      <c r="BF135" s="19">
        <f t="shared" si="166"/>
        <v>0</v>
      </c>
      <c r="BH135" s="19">
        <f t="shared" si="167"/>
        <v>0</v>
      </c>
      <c r="BI135" s="19">
        <f t="shared" si="168"/>
        <v>0</v>
      </c>
      <c r="BJ135" s="19">
        <f t="shared" si="169"/>
        <v>0</v>
      </c>
      <c r="BK135" s="19"/>
      <c r="BL135" s="19"/>
    </row>
    <row r="136" spans="1:64" ht="15" customHeight="1">
      <c r="A136" s="26" t="s">
        <v>272</v>
      </c>
      <c r="B136" s="21" t="s">
        <v>2</v>
      </c>
      <c r="C136" s="21" t="s">
        <v>262</v>
      </c>
      <c r="D136" s="64" t="s">
        <v>318</v>
      </c>
      <c r="E136" s="64"/>
      <c r="F136" s="21" t="s">
        <v>442</v>
      </c>
      <c r="G136" s="19">
        <v>1</v>
      </c>
      <c r="H136" s="19">
        <v>0</v>
      </c>
      <c r="I136" s="19">
        <f t="shared" si="144"/>
        <v>0</v>
      </c>
      <c r="J136" s="19">
        <f t="shared" si="145"/>
        <v>0</v>
      </c>
      <c r="K136" s="19">
        <f t="shared" si="146"/>
        <v>0</v>
      </c>
      <c r="L136" s="19">
        <v>0</v>
      </c>
      <c r="M136" s="19">
        <f t="shared" si="147"/>
        <v>0</v>
      </c>
      <c r="N136" s="41" t="s">
        <v>476</v>
      </c>
      <c r="Z136" s="19">
        <f t="shared" si="148"/>
        <v>0</v>
      </c>
      <c r="AB136" s="19">
        <f t="shared" si="149"/>
        <v>0</v>
      </c>
      <c r="AC136" s="19">
        <f t="shared" si="150"/>
        <v>0</v>
      </c>
      <c r="AD136" s="19">
        <f t="shared" si="151"/>
        <v>0</v>
      </c>
      <c r="AE136" s="19">
        <f t="shared" si="152"/>
        <v>0</v>
      </c>
      <c r="AF136" s="19">
        <f t="shared" si="153"/>
        <v>0</v>
      </c>
      <c r="AG136" s="19">
        <f t="shared" si="154"/>
        <v>0</v>
      </c>
      <c r="AH136" s="19">
        <f t="shared" si="155"/>
        <v>0</v>
      </c>
      <c r="AI136" s="51" t="s">
        <v>2</v>
      </c>
      <c r="AJ136" s="19">
        <f t="shared" si="156"/>
        <v>0</v>
      </c>
      <c r="AK136" s="19">
        <f t="shared" si="157"/>
        <v>0</v>
      </c>
      <c r="AL136" s="19">
        <f t="shared" si="158"/>
        <v>0</v>
      </c>
      <c r="AN136" s="19">
        <v>21</v>
      </c>
      <c r="AO136" s="19">
        <f t="shared" si="159"/>
        <v>0</v>
      </c>
      <c r="AP136" s="19">
        <f t="shared" si="160"/>
        <v>0</v>
      </c>
      <c r="AQ136" s="3" t="s">
        <v>300</v>
      </c>
      <c r="AV136" s="19">
        <f t="shared" si="161"/>
        <v>0</v>
      </c>
      <c r="AW136" s="19">
        <f t="shared" si="162"/>
        <v>0</v>
      </c>
      <c r="AX136" s="19">
        <f t="shared" si="163"/>
        <v>0</v>
      </c>
      <c r="AY136" s="3" t="s">
        <v>121</v>
      </c>
      <c r="AZ136" s="3" t="s">
        <v>72</v>
      </c>
      <c r="BA136" s="51" t="s">
        <v>503</v>
      </c>
      <c r="BC136" s="19">
        <f t="shared" si="164"/>
        <v>0</v>
      </c>
      <c r="BD136" s="19">
        <f t="shared" si="165"/>
        <v>0</v>
      </c>
      <c r="BE136" s="19">
        <v>0</v>
      </c>
      <c r="BF136" s="19">
        <f t="shared" si="166"/>
        <v>0</v>
      </c>
      <c r="BH136" s="19">
        <f t="shared" si="167"/>
        <v>0</v>
      </c>
      <c r="BI136" s="19">
        <f t="shared" si="168"/>
        <v>0</v>
      </c>
      <c r="BJ136" s="19">
        <f t="shared" si="169"/>
        <v>0</v>
      </c>
      <c r="BK136" s="19"/>
      <c r="BL136" s="19"/>
    </row>
    <row r="137" spans="1:64" ht="15" customHeight="1">
      <c r="A137" s="26" t="s">
        <v>467</v>
      </c>
      <c r="B137" s="21" t="s">
        <v>2</v>
      </c>
      <c r="C137" s="21" t="s">
        <v>17</v>
      </c>
      <c r="D137" s="64" t="s">
        <v>324</v>
      </c>
      <c r="E137" s="64"/>
      <c r="F137" s="21" t="s">
        <v>442</v>
      </c>
      <c r="G137" s="19">
        <v>1</v>
      </c>
      <c r="H137" s="19">
        <v>0</v>
      </c>
      <c r="I137" s="19">
        <f t="shared" si="144"/>
        <v>0</v>
      </c>
      <c r="J137" s="19">
        <f t="shared" si="145"/>
        <v>0</v>
      </c>
      <c r="K137" s="19">
        <f t="shared" si="146"/>
        <v>0</v>
      </c>
      <c r="L137" s="19">
        <v>0</v>
      </c>
      <c r="M137" s="19">
        <f t="shared" si="147"/>
        <v>0</v>
      </c>
      <c r="N137" s="41" t="s">
        <v>476</v>
      </c>
      <c r="Z137" s="19">
        <f t="shared" si="148"/>
        <v>0</v>
      </c>
      <c r="AB137" s="19">
        <f t="shared" si="149"/>
        <v>0</v>
      </c>
      <c r="AC137" s="19">
        <f t="shared" si="150"/>
        <v>0</v>
      </c>
      <c r="AD137" s="19">
        <f t="shared" si="151"/>
        <v>0</v>
      </c>
      <c r="AE137" s="19">
        <f t="shared" si="152"/>
        <v>0</v>
      </c>
      <c r="AF137" s="19">
        <f t="shared" si="153"/>
        <v>0</v>
      </c>
      <c r="AG137" s="19">
        <f t="shared" si="154"/>
        <v>0</v>
      </c>
      <c r="AH137" s="19">
        <f t="shared" si="155"/>
        <v>0</v>
      </c>
      <c r="AI137" s="51" t="s">
        <v>2</v>
      </c>
      <c r="AJ137" s="19">
        <f t="shared" si="156"/>
        <v>0</v>
      </c>
      <c r="AK137" s="19">
        <f t="shared" si="157"/>
        <v>0</v>
      </c>
      <c r="AL137" s="19">
        <f t="shared" si="158"/>
        <v>0</v>
      </c>
      <c r="AN137" s="19">
        <v>21</v>
      </c>
      <c r="AO137" s="19">
        <f t="shared" si="159"/>
        <v>0</v>
      </c>
      <c r="AP137" s="19">
        <f t="shared" si="160"/>
        <v>0</v>
      </c>
      <c r="AQ137" s="3" t="s">
        <v>300</v>
      </c>
      <c r="AV137" s="19">
        <f t="shared" si="161"/>
        <v>0</v>
      </c>
      <c r="AW137" s="19">
        <f t="shared" si="162"/>
        <v>0</v>
      </c>
      <c r="AX137" s="19">
        <f t="shared" si="163"/>
        <v>0</v>
      </c>
      <c r="AY137" s="3" t="s">
        <v>121</v>
      </c>
      <c r="AZ137" s="3" t="s">
        <v>72</v>
      </c>
      <c r="BA137" s="51" t="s">
        <v>503</v>
      </c>
      <c r="BC137" s="19">
        <f t="shared" si="164"/>
        <v>0</v>
      </c>
      <c r="BD137" s="19">
        <f t="shared" si="165"/>
        <v>0</v>
      </c>
      <c r="BE137" s="19">
        <v>0</v>
      </c>
      <c r="BF137" s="19">
        <f t="shared" si="166"/>
        <v>0</v>
      </c>
      <c r="BH137" s="19">
        <f t="shared" si="167"/>
        <v>0</v>
      </c>
      <c r="BI137" s="19">
        <f t="shared" si="168"/>
        <v>0</v>
      </c>
      <c r="BJ137" s="19">
        <f t="shared" si="169"/>
        <v>0</v>
      </c>
      <c r="BK137" s="19"/>
      <c r="BL137" s="19"/>
    </row>
    <row r="138" spans="1:64" ht="15" customHeight="1">
      <c r="A138" s="26" t="s">
        <v>260</v>
      </c>
      <c r="B138" s="21" t="s">
        <v>2</v>
      </c>
      <c r="C138" s="21" t="s">
        <v>352</v>
      </c>
      <c r="D138" s="64" t="s">
        <v>343</v>
      </c>
      <c r="E138" s="64"/>
      <c r="F138" s="21" t="s">
        <v>442</v>
      </c>
      <c r="G138" s="19">
        <v>1</v>
      </c>
      <c r="H138" s="19">
        <v>0</v>
      </c>
      <c r="I138" s="19">
        <f t="shared" si="144"/>
        <v>0</v>
      </c>
      <c r="J138" s="19">
        <f t="shared" si="145"/>
        <v>0</v>
      </c>
      <c r="K138" s="19">
        <f t="shared" si="146"/>
        <v>0</v>
      </c>
      <c r="L138" s="19">
        <v>0</v>
      </c>
      <c r="M138" s="19">
        <f t="shared" si="147"/>
        <v>0</v>
      </c>
      <c r="N138" s="41" t="s">
        <v>476</v>
      </c>
      <c r="Z138" s="19">
        <f t="shared" si="148"/>
        <v>0</v>
      </c>
      <c r="AB138" s="19">
        <f t="shared" si="149"/>
        <v>0</v>
      </c>
      <c r="AC138" s="19">
        <f t="shared" si="150"/>
        <v>0</v>
      </c>
      <c r="AD138" s="19">
        <f t="shared" si="151"/>
        <v>0</v>
      </c>
      <c r="AE138" s="19">
        <f t="shared" si="152"/>
        <v>0</v>
      </c>
      <c r="AF138" s="19">
        <f t="shared" si="153"/>
        <v>0</v>
      </c>
      <c r="AG138" s="19">
        <f t="shared" si="154"/>
        <v>0</v>
      </c>
      <c r="AH138" s="19">
        <f t="shared" si="155"/>
        <v>0</v>
      </c>
      <c r="AI138" s="51" t="s">
        <v>2</v>
      </c>
      <c r="AJ138" s="19">
        <f t="shared" si="156"/>
        <v>0</v>
      </c>
      <c r="AK138" s="19">
        <f t="shared" si="157"/>
        <v>0</v>
      </c>
      <c r="AL138" s="19">
        <f t="shared" si="158"/>
        <v>0</v>
      </c>
      <c r="AN138" s="19">
        <v>21</v>
      </c>
      <c r="AO138" s="19">
        <f t="shared" si="159"/>
        <v>0</v>
      </c>
      <c r="AP138" s="19">
        <f t="shared" si="160"/>
        <v>0</v>
      </c>
      <c r="AQ138" s="3" t="s">
        <v>300</v>
      </c>
      <c r="AV138" s="19">
        <f t="shared" si="161"/>
        <v>0</v>
      </c>
      <c r="AW138" s="19">
        <f t="shared" si="162"/>
        <v>0</v>
      </c>
      <c r="AX138" s="19">
        <f t="shared" si="163"/>
        <v>0</v>
      </c>
      <c r="AY138" s="3" t="s">
        <v>121</v>
      </c>
      <c r="AZ138" s="3" t="s">
        <v>72</v>
      </c>
      <c r="BA138" s="51" t="s">
        <v>503</v>
      </c>
      <c r="BC138" s="19">
        <f t="shared" si="164"/>
        <v>0</v>
      </c>
      <c r="BD138" s="19">
        <f t="shared" si="165"/>
        <v>0</v>
      </c>
      <c r="BE138" s="19">
        <v>0</v>
      </c>
      <c r="BF138" s="19">
        <f t="shared" si="166"/>
        <v>0</v>
      </c>
      <c r="BH138" s="19">
        <f t="shared" si="167"/>
        <v>0</v>
      </c>
      <c r="BI138" s="19">
        <f t="shared" si="168"/>
        <v>0</v>
      </c>
      <c r="BJ138" s="19">
        <f t="shared" si="169"/>
        <v>0</v>
      </c>
      <c r="BK138" s="19"/>
      <c r="BL138" s="19"/>
    </row>
    <row r="139" spans="1:64" ht="15" customHeight="1">
      <c r="A139" s="26" t="s">
        <v>362</v>
      </c>
      <c r="B139" s="21" t="s">
        <v>2</v>
      </c>
      <c r="C139" s="21" t="s">
        <v>223</v>
      </c>
      <c r="D139" s="64" t="s">
        <v>638</v>
      </c>
      <c r="E139" s="64"/>
      <c r="F139" s="21" t="s">
        <v>442</v>
      </c>
      <c r="G139" s="19">
        <v>1</v>
      </c>
      <c r="H139" s="19">
        <v>0</v>
      </c>
      <c r="I139" s="19">
        <f t="shared" si="144"/>
        <v>0</v>
      </c>
      <c r="J139" s="19">
        <f t="shared" si="145"/>
        <v>0</v>
      </c>
      <c r="K139" s="19">
        <f t="shared" si="146"/>
        <v>0</v>
      </c>
      <c r="L139" s="19">
        <v>0</v>
      </c>
      <c r="M139" s="19">
        <f t="shared" si="147"/>
        <v>0</v>
      </c>
      <c r="N139" s="41" t="s">
        <v>476</v>
      </c>
      <c r="Z139" s="19">
        <f t="shared" si="148"/>
        <v>0</v>
      </c>
      <c r="AB139" s="19">
        <f t="shared" si="149"/>
        <v>0</v>
      </c>
      <c r="AC139" s="19">
        <f t="shared" si="150"/>
        <v>0</v>
      </c>
      <c r="AD139" s="19">
        <f t="shared" si="151"/>
        <v>0</v>
      </c>
      <c r="AE139" s="19">
        <f t="shared" si="152"/>
        <v>0</v>
      </c>
      <c r="AF139" s="19">
        <f t="shared" si="153"/>
        <v>0</v>
      </c>
      <c r="AG139" s="19">
        <f t="shared" si="154"/>
        <v>0</v>
      </c>
      <c r="AH139" s="19">
        <f t="shared" si="155"/>
        <v>0</v>
      </c>
      <c r="AI139" s="51" t="s">
        <v>2</v>
      </c>
      <c r="AJ139" s="19">
        <f t="shared" si="156"/>
        <v>0</v>
      </c>
      <c r="AK139" s="19">
        <f t="shared" si="157"/>
        <v>0</v>
      </c>
      <c r="AL139" s="19">
        <f t="shared" si="158"/>
        <v>0</v>
      </c>
      <c r="AN139" s="19">
        <v>21</v>
      </c>
      <c r="AO139" s="19">
        <f t="shared" si="159"/>
        <v>0</v>
      </c>
      <c r="AP139" s="19">
        <f t="shared" si="160"/>
        <v>0</v>
      </c>
      <c r="AQ139" s="3" t="s">
        <v>300</v>
      </c>
      <c r="AV139" s="19">
        <f t="shared" si="161"/>
        <v>0</v>
      </c>
      <c r="AW139" s="19">
        <f t="shared" si="162"/>
        <v>0</v>
      </c>
      <c r="AX139" s="19">
        <f t="shared" si="163"/>
        <v>0</v>
      </c>
      <c r="AY139" s="3" t="s">
        <v>121</v>
      </c>
      <c r="AZ139" s="3" t="s">
        <v>72</v>
      </c>
      <c r="BA139" s="51" t="s">
        <v>503</v>
      </c>
      <c r="BC139" s="19">
        <f t="shared" si="164"/>
        <v>0</v>
      </c>
      <c r="BD139" s="19">
        <f t="shared" si="165"/>
        <v>0</v>
      </c>
      <c r="BE139" s="19">
        <v>0</v>
      </c>
      <c r="BF139" s="19">
        <f t="shared" si="166"/>
        <v>0</v>
      </c>
      <c r="BH139" s="19">
        <f t="shared" si="167"/>
        <v>0</v>
      </c>
      <c r="BI139" s="19">
        <f t="shared" si="168"/>
        <v>0</v>
      </c>
      <c r="BJ139" s="19">
        <f t="shared" si="169"/>
        <v>0</v>
      </c>
      <c r="BK139" s="19"/>
      <c r="BL139" s="19"/>
    </row>
    <row r="140" spans="1:64" ht="15" customHeight="1">
      <c r="A140" s="26" t="s">
        <v>624</v>
      </c>
      <c r="B140" s="21" t="s">
        <v>2</v>
      </c>
      <c r="C140" s="21" t="s">
        <v>197</v>
      </c>
      <c r="D140" s="64" t="s">
        <v>152</v>
      </c>
      <c r="E140" s="64"/>
      <c r="F140" s="21" t="s">
        <v>442</v>
      </c>
      <c r="G140" s="19">
        <v>1</v>
      </c>
      <c r="H140" s="19">
        <v>0</v>
      </c>
      <c r="I140" s="19">
        <f t="shared" si="144"/>
        <v>0</v>
      </c>
      <c r="J140" s="19">
        <f t="shared" si="145"/>
        <v>0</v>
      </c>
      <c r="K140" s="19">
        <f t="shared" si="146"/>
        <v>0</v>
      </c>
      <c r="L140" s="19">
        <v>0</v>
      </c>
      <c r="M140" s="19">
        <f t="shared" si="147"/>
        <v>0</v>
      </c>
      <c r="N140" s="41" t="s">
        <v>476</v>
      </c>
      <c r="Z140" s="19">
        <f t="shared" si="148"/>
        <v>0</v>
      </c>
      <c r="AB140" s="19">
        <f t="shared" si="149"/>
        <v>0</v>
      </c>
      <c r="AC140" s="19">
        <f t="shared" si="150"/>
        <v>0</v>
      </c>
      <c r="AD140" s="19">
        <f t="shared" si="151"/>
        <v>0</v>
      </c>
      <c r="AE140" s="19">
        <f t="shared" si="152"/>
        <v>0</v>
      </c>
      <c r="AF140" s="19">
        <f t="shared" si="153"/>
        <v>0</v>
      </c>
      <c r="AG140" s="19">
        <f t="shared" si="154"/>
        <v>0</v>
      </c>
      <c r="AH140" s="19">
        <f t="shared" si="155"/>
        <v>0</v>
      </c>
      <c r="AI140" s="51" t="s">
        <v>2</v>
      </c>
      <c r="AJ140" s="19">
        <f t="shared" si="156"/>
        <v>0</v>
      </c>
      <c r="AK140" s="19">
        <f t="shared" si="157"/>
        <v>0</v>
      </c>
      <c r="AL140" s="19">
        <f t="shared" si="158"/>
        <v>0</v>
      </c>
      <c r="AN140" s="19">
        <v>21</v>
      </c>
      <c r="AO140" s="19">
        <f t="shared" si="159"/>
        <v>0</v>
      </c>
      <c r="AP140" s="19">
        <f t="shared" si="160"/>
        <v>0</v>
      </c>
      <c r="AQ140" s="3" t="s">
        <v>300</v>
      </c>
      <c r="AV140" s="19">
        <f t="shared" si="161"/>
        <v>0</v>
      </c>
      <c r="AW140" s="19">
        <f t="shared" si="162"/>
        <v>0</v>
      </c>
      <c r="AX140" s="19">
        <f t="shared" si="163"/>
        <v>0</v>
      </c>
      <c r="AY140" s="3" t="s">
        <v>121</v>
      </c>
      <c r="AZ140" s="3" t="s">
        <v>72</v>
      </c>
      <c r="BA140" s="51" t="s">
        <v>503</v>
      </c>
      <c r="BC140" s="19">
        <f t="shared" si="164"/>
        <v>0</v>
      </c>
      <c r="BD140" s="19">
        <f t="shared" si="165"/>
        <v>0</v>
      </c>
      <c r="BE140" s="19">
        <v>0</v>
      </c>
      <c r="BF140" s="19">
        <f t="shared" si="166"/>
        <v>0</v>
      </c>
      <c r="BH140" s="19">
        <f t="shared" si="167"/>
        <v>0</v>
      </c>
      <c r="BI140" s="19">
        <f t="shared" si="168"/>
        <v>0</v>
      </c>
      <c r="BJ140" s="19">
        <f t="shared" si="169"/>
        <v>0</v>
      </c>
      <c r="BK140" s="19"/>
      <c r="BL140" s="19"/>
    </row>
    <row r="141" spans="1:64" ht="15" customHeight="1">
      <c r="A141" s="26" t="s">
        <v>399</v>
      </c>
      <c r="B141" s="21" t="s">
        <v>2</v>
      </c>
      <c r="C141" s="21" t="s">
        <v>580</v>
      </c>
      <c r="D141" s="64" t="s">
        <v>180</v>
      </c>
      <c r="E141" s="64"/>
      <c r="F141" s="21" t="s">
        <v>442</v>
      </c>
      <c r="G141" s="19">
        <v>1</v>
      </c>
      <c r="H141" s="19">
        <v>0</v>
      </c>
      <c r="I141" s="19">
        <f t="shared" si="144"/>
        <v>0</v>
      </c>
      <c r="J141" s="19">
        <f t="shared" si="145"/>
        <v>0</v>
      </c>
      <c r="K141" s="19">
        <f t="shared" si="146"/>
        <v>0</v>
      </c>
      <c r="L141" s="19">
        <v>0</v>
      </c>
      <c r="M141" s="19">
        <f t="shared" si="147"/>
        <v>0</v>
      </c>
      <c r="N141" s="41" t="s">
        <v>476</v>
      </c>
      <c r="Z141" s="19">
        <f t="shared" si="148"/>
        <v>0</v>
      </c>
      <c r="AB141" s="19">
        <f t="shared" si="149"/>
        <v>0</v>
      </c>
      <c r="AC141" s="19">
        <f t="shared" si="150"/>
        <v>0</v>
      </c>
      <c r="AD141" s="19">
        <f t="shared" si="151"/>
        <v>0</v>
      </c>
      <c r="AE141" s="19">
        <f t="shared" si="152"/>
        <v>0</v>
      </c>
      <c r="AF141" s="19">
        <f t="shared" si="153"/>
        <v>0</v>
      </c>
      <c r="AG141" s="19">
        <f t="shared" si="154"/>
        <v>0</v>
      </c>
      <c r="AH141" s="19">
        <f t="shared" si="155"/>
        <v>0</v>
      </c>
      <c r="AI141" s="51" t="s">
        <v>2</v>
      </c>
      <c r="AJ141" s="19">
        <f t="shared" si="156"/>
        <v>0</v>
      </c>
      <c r="AK141" s="19">
        <f t="shared" si="157"/>
        <v>0</v>
      </c>
      <c r="AL141" s="19">
        <f t="shared" si="158"/>
        <v>0</v>
      </c>
      <c r="AN141" s="19">
        <v>21</v>
      </c>
      <c r="AO141" s="19">
        <f t="shared" si="159"/>
        <v>0</v>
      </c>
      <c r="AP141" s="19">
        <f t="shared" si="160"/>
        <v>0</v>
      </c>
      <c r="AQ141" s="3" t="s">
        <v>300</v>
      </c>
      <c r="AV141" s="19">
        <f t="shared" si="161"/>
        <v>0</v>
      </c>
      <c r="AW141" s="19">
        <f t="shared" si="162"/>
        <v>0</v>
      </c>
      <c r="AX141" s="19">
        <f t="shared" si="163"/>
        <v>0</v>
      </c>
      <c r="AY141" s="3" t="s">
        <v>121</v>
      </c>
      <c r="AZ141" s="3" t="s">
        <v>72</v>
      </c>
      <c r="BA141" s="51" t="s">
        <v>503</v>
      </c>
      <c r="BC141" s="19">
        <f t="shared" si="164"/>
        <v>0</v>
      </c>
      <c r="BD141" s="19">
        <f t="shared" si="165"/>
        <v>0</v>
      </c>
      <c r="BE141" s="19">
        <v>0</v>
      </c>
      <c r="BF141" s="19">
        <f t="shared" si="166"/>
        <v>0</v>
      </c>
      <c r="BH141" s="19">
        <f t="shared" si="167"/>
        <v>0</v>
      </c>
      <c r="BI141" s="19">
        <f t="shared" si="168"/>
        <v>0</v>
      </c>
      <c r="BJ141" s="19">
        <f t="shared" si="169"/>
        <v>0</v>
      </c>
      <c r="BK141" s="19"/>
      <c r="BL141" s="19"/>
    </row>
    <row r="142" spans="1:14" ht="15" customHeight="1">
      <c r="A142" s="61" t="s">
        <v>392</v>
      </c>
      <c r="B142" s="36" t="s">
        <v>92</v>
      </c>
      <c r="C142" s="36" t="s">
        <v>392</v>
      </c>
      <c r="D142" s="68" t="s">
        <v>277</v>
      </c>
      <c r="E142" s="68"/>
      <c r="F142" s="1" t="s">
        <v>525</v>
      </c>
      <c r="G142" s="1" t="s">
        <v>525</v>
      </c>
      <c r="H142" s="1" t="s">
        <v>525</v>
      </c>
      <c r="I142" s="33">
        <f>I143</f>
        <v>0</v>
      </c>
      <c r="J142" s="33">
        <f>J143</f>
        <v>0</v>
      </c>
      <c r="K142" s="33">
        <f>K143</f>
        <v>0</v>
      </c>
      <c r="L142" s="51" t="s">
        <v>392</v>
      </c>
      <c r="M142" s="33">
        <f>M143</f>
        <v>0</v>
      </c>
      <c r="N142" s="58" t="s">
        <v>392</v>
      </c>
    </row>
    <row r="143" spans="1:47" ht="15" customHeight="1">
      <c r="A143" s="61" t="s">
        <v>392</v>
      </c>
      <c r="B143" s="36" t="s">
        <v>92</v>
      </c>
      <c r="C143" s="36" t="s">
        <v>217</v>
      </c>
      <c r="D143" s="68" t="s">
        <v>252</v>
      </c>
      <c r="E143" s="68"/>
      <c r="F143" s="1" t="s">
        <v>525</v>
      </c>
      <c r="G143" s="1" t="s">
        <v>525</v>
      </c>
      <c r="H143" s="1" t="s">
        <v>525</v>
      </c>
      <c r="I143" s="33">
        <f>SUM(I144:I157)</f>
        <v>0</v>
      </c>
      <c r="J143" s="33">
        <f>SUM(J144:J157)</f>
        <v>0</v>
      </c>
      <c r="K143" s="33">
        <f>SUM(K144:K157)</f>
        <v>0</v>
      </c>
      <c r="L143" s="51" t="s">
        <v>392</v>
      </c>
      <c r="M143" s="33">
        <f>SUM(M144:M157)</f>
        <v>0</v>
      </c>
      <c r="N143" s="58" t="s">
        <v>392</v>
      </c>
      <c r="AI143" s="51" t="s">
        <v>92</v>
      </c>
      <c r="AS143" s="33">
        <f>SUM(AJ144:AJ157)</f>
        <v>0</v>
      </c>
      <c r="AT143" s="33">
        <f>SUM(AK144:AK157)</f>
        <v>0</v>
      </c>
      <c r="AU143" s="33">
        <f>SUM(AL144:AL157)</f>
        <v>0</v>
      </c>
    </row>
    <row r="144" spans="1:64" ht="15" customHeight="1">
      <c r="A144" s="26" t="s">
        <v>630</v>
      </c>
      <c r="B144" s="21" t="s">
        <v>92</v>
      </c>
      <c r="C144" s="21" t="s">
        <v>645</v>
      </c>
      <c r="D144" s="64" t="s">
        <v>452</v>
      </c>
      <c r="E144" s="64"/>
      <c r="F144" s="21" t="s">
        <v>442</v>
      </c>
      <c r="G144" s="19">
        <v>1</v>
      </c>
      <c r="H144" s="19">
        <v>0</v>
      </c>
      <c r="I144" s="19">
        <f aca="true" t="shared" si="170" ref="I144:I157">G144*AO144</f>
        <v>0</v>
      </c>
      <c r="J144" s="19">
        <f aca="true" t="shared" si="171" ref="J144:J157">G144*AP144</f>
        <v>0</v>
      </c>
      <c r="K144" s="19">
        <f aca="true" t="shared" si="172" ref="K144:K157">G144*H144</f>
        <v>0</v>
      </c>
      <c r="L144" s="19">
        <v>0</v>
      </c>
      <c r="M144" s="19">
        <f aca="true" t="shared" si="173" ref="M144:M157">G144*L144</f>
        <v>0</v>
      </c>
      <c r="N144" s="41" t="s">
        <v>476</v>
      </c>
      <c r="Z144" s="19">
        <f aca="true" t="shared" si="174" ref="Z144:Z157">IF(AQ144="5",BJ144,0)</f>
        <v>0</v>
      </c>
      <c r="AB144" s="19">
        <f aca="true" t="shared" si="175" ref="AB144:AB157">IF(AQ144="1",BH144,0)</f>
        <v>0</v>
      </c>
      <c r="AC144" s="19">
        <f aca="true" t="shared" si="176" ref="AC144:AC157">IF(AQ144="1",BI144,0)</f>
        <v>0</v>
      </c>
      <c r="AD144" s="19">
        <f aca="true" t="shared" si="177" ref="AD144:AD157">IF(AQ144="7",BH144,0)</f>
        <v>0</v>
      </c>
      <c r="AE144" s="19">
        <f aca="true" t="shared" si="178" ref="AE144:AE157">IF(AQ144="7",BI144,0)</f>
        <v>0</v>
      </c>
      <c r="AF144" s="19">
        <f aca="true" t="shared" si="179" ref="AF144:AF157">IF(AQ144="2",BH144,0)</f>
        <v>0</v>
      </c>
      <c r="AG144" s="19">
        <f aca="true" t="shared" si="180" ref="AG144:AG157">IF(AQ144="2",BI144,0)</f>
        <v>0</v>
      </c>
      <c r="AH144" s="19">
        <f aca="true" t="shared" si="181" ref="AH144:AH157">IF(AQ144="0",BJ144,0)</f>
        <v>0</v>
      </c>
      <c r="AI144" s="51" t="s">
        <v>92</v>
      </c>
      <c r="AJ144" s="19">
        <f aca="true" t="shared" si="182" ref="AJ144:AJ157">IF(AN144=0,K144,0)</f>
        <v>0</v>
      </c>
      <c r="AK144" s="19">
        <f aca="true" t="shared" si="183" ref="AK144:AK157">IF(AN144=15,K144,0)</f>
        <v>0</v>
      </c>
      <c r="AL144" s="19">
        <f aca="true" t="shared" si="184" ref="AL144:AL157">IF(AN144=21,K144,0)</f>
        <v>0</v>
      </c>
      <c r="AN144" s="19">
        <v>21</v>
      </c>
      <c r="AO144" s="19">
        <f aca="true" t="shared" si="185" ref="AO144:AO155">H144*1</f>
        <v>0</v>
      </c>
      <c r="AP144" s="19">
        <f aca="true" t="shared" si="186" ref="AP144:AP155">H144*(1-1)</f>
        <v>0</v>
      </c>
      <c r="AQ144" s="3" t="s">
        <v>575</v>
      </c>
      <c r="AV144" s="19">
        <f aca="true" t="shared" si="187" ref="AV144:AV157">AW144+AX144</f>
        <v>0</v>
      </c>
      <c r="AW144" s="19">
        <f aca="true" t="shared" si="188" ref="AW144:AW157">G144*AO144</f>
        <v>0</v>
      </c>
      <c r="AX144" s="19">
        <f aca="true" t="shared" si="189" ref="AX144:AX157">G144*AP144</f>
        <v>0</v>
      </c>
      <c r="AY144" s="3" t="s">
        <v>158</v>
      </c>
      <c r="AZ144" s="3" t="s">
        <v>308</v>
      </c>
      <c r="BA144" s="51" t="s">
        <v>637</v>
      </c>
      <c r="BC144" s="19">
        <f aca="true" t="shared" si="190" ref="BC144:BC157">AW144+AX144</f>
        <v>0</v>
      </c>
      <c r="BD144" s="19">
        <f aca="true" t="shared" si="191" ref="BD144:BD157">H144/(100-BE144)*100</f>
        <v>0</v>
      </c>
      <c r="BE144" s="19">
        <v>0</v>
      </c>
      <c r="BF144" s="19">
        <f aca="true" t="shared" si="192" ref="BF144:BF157">M144</f>
        <v>0</v>
      </c>
      <c r="BH144" s="19">
        <f aca="true" t="shared" si="193" ref="BH144:BH157">G144*AO144</f>
        <v>0</v>
      </c>
      <c r="BI144" s="19">
        <f aca="true" t="shared" si="194" ref="BI144:BI157">G144*AP144</f>
        <v>0</v>
      </c>
      <c r="BJ144" s="19">
        <f aca="true" t="shared" si="195" ref="BJ144:BJ157">G144*H144</f>
        <v>0</v>
      </c>
      <c r="BK144" s="19"/>
      <c r="BL144" s="19">
        <v>731</v>
      </c>
    </row>
    <row r="145" spans="1:64" ht="15" customHeight="1">
      <c r="A145" s="26" t="s">
        <v>593</v>
      </c>
      <c r="B145" s="21" t="s">
        <v>92</v>
      </c>
      <c r="C145" s="21" t="s">
        <v>361</v>
      </c>
      <c r="D145" s="64" t="s">
        <v>67</v>
      </c>
      <c r="E145" s="64"/>
      <c r="F145" s="21" t="s">
        <v>396</v>
      </c>
      <c r="G145" s="19">
        <v>3</v>
      </c>
      <c r="H145" s="19">
        <v>0</v>
      </c>
      <c r="I145" s="19">
        <f t="shared" si="170"/>
        <v>0</v>
      </c>
      <c r="J145" s="19">
        <f t="shared" si="171"/>
        <v>0</v>
      </c>
      <c r="K145" s="19">
        <f t="shared" si="172"/>
        <v>0</v>
      </c>
      <c r="L145" s="19">
        <v>0</v>
      </c>
      <c r="M145" s="19">
        <f t="shared" si="173"/>
        <v>0</v>
      </c>
      <c r="N145" s="41" t="s">
        <v>476</v>
      </c>
      <c r="Z145" s="19">
        <f t="shared" si="174"/>
        <v>0</v>
      </c>
      <c r="AB145" s="19">
        <f t="shared" si="175"/>
        <v>0</v>
      </c>
      <c r="AC145" s="19">
        <f t="shared" si="176"/>
        <v>0</v>
      </c>
      <c r="AD145" s="19">
        <f t="shared" si="177"/>
        <v>0</v>
      </c>
      <c r="AE145" s="19">
        <f t="shared" si="178"/>
        <v>0</v>
      </c>
      <c r="AF145" s="19">
        <f t="shared" si="179"/>
        <v>0</v>
      </c>
      <c r="AG145" s="19">
        <f t="shared" si="180"/>
        <v>0</v>
      </c>
      <c r="AH145" s="19">
        <f t="shared" si="181"/>
        <v>0</v>
      </c>
      <c r="AI145" s="51" t="s">
        <v>92</v>
      </c>
      <c r="AJ145" s="19">
        <f t="shared" si="182"/>
        <v>0</v>
      </c>
      <c r="AK145" s="19">
        <f t="shared" si="183"/>
        <v>0</v>
      </c>
      <c r="AL145" s="19">
        <f t="shared" si="184"/>
        <v>0</v>
      </c>
      <c r="AN145" s="19">
        <v>21</v>
      </c>
      <c r="AO145" s="19">
        <f t="shared" si="185"/>
        <v>0</v>
      </c>
      <c r="AP145" s="19">
        <f t="shared" si="186"/>
        <v>0</v>
      </c>
      <c r="AQ145" s="3" t="s">
        <v>575</v>
      </c>
      <c r="AV145" s="19">
        <f t="shared" si="187"/>
        <v>0</v>
      </c>
      <c r="AW145" s="19">
        <f t="shared" si="188"/>
        <v>0</v>
      </c>
      <c r="AX145" s="19">
        <f t="shared" si="189"/>
        <v>0</v>
      </c>
      <c r="AY145" s="3" t="s">
        <v>158</v>
      </c>
      <c r="AZ145" s="3" t="s">
        <v>308</v>
      </c>
      <c r="BA145" s="51" t="s">
        <v>637</v>
      </c>
      <c r="BC145" s="19">
        <f t="shared" si="190"/>
        <v>0</v>
      </c>
      <c r="BD145" s="19">
        <f t="shared" si="191"/>
        <v>0</v>
      </c>
      <c r="BE145" s="19">
        <v>0</v>
      </c>
      <c r="BF145" s="19">
        <f t="shared" si="192"/>
        <v>0</v>
      </c>
      <c r="BH145" s="19">
        <f t="shared" si="193"/>
        <v>0</v>
      </c>
      <c r="BI145" s="19">
        <f t="shared" si="194"/>
        <v>0</v>
      </c>
      <c r="BJ145" s="19">
        <f t="shared" si="195"/>
        <v>0</v>
      </c>
      <c r="BK145" s="19"/>
      <c r="BL145" s="19">
        <v>731</v>
      </c>
    </row>
    <row r="146" spans="1:64" ht="15" customHeight="1">
      <c r="A146" s="26" t="s">
        <v>547</v>
      </c>
      <c r="B146" s="21" t="s">
        <v>92</v>
      </c>
      <c r="C146" s="21" t="s">
        <v>606</v>
      </c>
      <c r="D146" s="64" t="s">
        <v>353</v>
      </c>
      <c r="E146" s="64"/>
      <c r="F146" s="21" t="s">
        <v>396</v>
      </c>
      <c r="G146" s="19">
        <v>1</v>
      </c>
      <c r="H146" s="19">
        <v>0</v>
      </c>
      <c r="I146" s="19">
        <f t="shared" si="170"/>
        <v>0</v>
      </c>
      <c r="J146" s="19">
        <f t="shared" si="171"/>
        <v>0</v>
      </c>
      <c r="K146" s="19">
        <f t="shared" si="172"/>
        <v>0</v>
      </c>
      <c r="L146" s="19">
        <v>0</v>
      </c>
      <c r="M146" s="19">
        <f t="shared" si="173"/>
        <v>0</v>
      </c>
      <c r="N146" s="41" t="s">
        <v>476</v>
      </c>
      <c r="Z146" s="19">
        <f t="shared" si="174"/>
        <v>0</v>
      </c>
      <c r="AB146" s="19">
        <f t="shared" si="175"/>
        <v>0</v>
      </c>
      <c r="AC146" s="19">
        <f t="shared" si="176"/>
        <v>0</v>
      </c>
      <c r="AD146" s="19">
        <f t="shared" si="177"/>
        <v>0</v>
      </c>
      <c r="AE146" s="19">
        <f t="shared" si="178"/>
        <v>0</v>
      </c>
      <c r="AF146" s="19">
        <f t="shared" si="179"/>
        <v>0</v>
      </c>
      <c r="AG146" s="19">
        <f t="shared" si="180"/>
        <v>0</v>
      </c>
      <c r="AH146" s="19">
        <f t="shared" si="181"/>
        <v>0</v>
      </c>
      <c r="AI146" s="51" t="s">
        <v>92</v>
      </c>
      <c r="AJ146" s="19">
        <f t="shared" si="182"/>
        <v>0</v>
      </c>
      <c r="AK146" s="19">
        <f t="shared" si="183"/>
        <v>0</v>
      </c>
      <c r="AL146" s="19">
        <f t="shared" si="184"/>
        <v>0</v>
      </c>
      <c r="AN146" s="19">
        <v>21</v>
      </c>
      <c r="AO146" s="19">
        <f t="shared" si="185"/>
        <v>0</v>
      </c>
      <c r="AP146" s="19">
        <f t="shared" si="186"/>
        <v>0</v>
      </c>
      <c r="AQ146" s="3" t="s">
        <v>575</v>
      </c>
      <c r="AV146" s="19">
        <f t="shared" si="187"/>
        <v>0</v>
      </c>
      <c r="AW146" s="19">
        <f t="shared" si="188"/>
        <v>0</v>
      </c>
      <c r="AX146" s="19">
        <f t="shared" si="189"/>
        <v>0</v>
      </c>
      <c r="AY146" s="3" t="s">
        <v>158</v>
      </c>
      <c r="AZ146" s="3" t="s">
        <v>308</v>
      </c>
      <c r="BA146" s="51" t="s">
        <v>637</v>
      </c>
      <c r="BC146" s="19">
        <f t="shared" si="190"/>
        <v>0</v>
      </c>
      <c r="BD146" s="19">
        <f t="shared" si="191"/>
        <v>0</v>
      </c>
      <c r="BE146" s="19">
        <v>0</v>
      </c>
      <c r="BF146" s="19">
        <f t="shared" si="192"/>
        <v>0</v>
      </c>
      <c r="BH146" s="19">
        <f t="shared" si="193"/>
        <v>0</v>
      </c>
      <c r="BI146" s="19">
        <f t="shared" si="194"/>
        <v>0</v>
      </c>
      <c r="BJ146" s="19">
        <f t="shared" si="195"/>
        <v>0</v>
      </c>
      <c r="BK146" s="19"/>
      <c r="BL146" s="19">
        <v>731</v>
      </c>
    </row>
    <row r="147" spans="1:64" ht="15" customHeight="1">
      <c r="A147" s="26" t="s">
        <v>296</v>
      </c>
      <c r="B147" s="21" t="s">
        <v>92</v>
      </c>
      <c r="C147" s="21" t="s">
        <v>606</v>
      </c>
      <c r="D147" s="64" t="s">
        <v>326</v>
      </c>
      <c r="E147" s="64"/>
      <c r="F147" s="21" t="s">
        <v>396</v>
      </c>
      <c r="G147" s="19">
        <v>17</v>
      </c>
      <c r="H147" s="19">
        <v>0</v>
      </c>
      <c r="I147" s="19">
        <f t="shared" si="170"/>
        <v>0</v>
      </c>
      <c r="J147" s="19">
        <f t="shared" si="171"/>
        <v>0</v>
      </c>
      <c r="K147" s="19">
        <f t="shared" si="172"/>
        <v>0</v>
      </c>
      <c r="L147" s="19">
        <v>0</v>
      </c>
      <c r="M147" s="19">
        <f t="shared" si="173"/>
        <v>0</v>
      </c>
      <c r="N147" s="41" t="s">
        <v>476</v>
      </c>
      <c r="Z147" s="19">
        <f t="shared" si="174"/>
        <v>0</v>
      </c>
      <c r="AB147" s="19">
        <f t="shared" si="175"/>
        <v>0</v>
      </c>
      <c r="AC147" s="19">
        <f t="shared" si="176"/>
        <v>0</v>
      </c>
      <c r="AD147" s="19">
        <f t="shared" si="177"/>
        <v>0</v>
      </c>
      <c r="AE147" s="19">
        <f t="shared" si="178"/>
        <v>0</v>
      </c>
      <c r="AF147" s="19">
        <f t="shared" si="179"/>
        <v>0</v>
      </c>
      <c r="AG147" s="19">
        <f t="shared" si="180"/>
        <v>0</v>
      </c>
      <c r="AH147" s="19">
        <f t="shared" si="181"/>
        <v>0</v>
      </c>
      <c r="AI147" s="51" t="s">
        <v>92</v>
      </c>
      <c r="AJ147" s="19">
        <f t="shared" si="182"/>
        <v>0</v>
      </c>
      <c r="AK147" s="19">
        <f t="shared" si="183"/>
        <v>0</v>
      </c>
      <c r="AL147" s="19">
        <f t="shared" si="184"/>
        <v>0</v>
      </c>
      <c r="AN147" s="19">
        <v>21</v>
      </c>
      <c r="AO147" s="19">
        <f t="shared" si="185"/>
        <v>0</v>
      </c>
      <c r="AP147" s="19">
        <f t="shared" si="186"/>
        <v>0</v>
      </c>
      <c r="AQ147" s="3" t="s">
        <v>575</v>
      </c>
      <c r="AV147" s="19">
        <f t="shared" si="187"/>
        <v>0</v>
      </c>
      <c r="AW147" s="19">
        <f t="shared" si="188"/>
        <v>0</v>
      </c>
      <c r="AX147" s="19">
        <f t="shared" si="189"/>
        <v>0</v>
      </c>
      <c r="AY147" s="3" t="s">
        <v>158</v>
      </c>
      <c r="AZ147" s="3" t="s">
        <v>308</v>
      </c>
      <c r="BA147" s="51" t="s">
        <v>637</v>
      </c>
      <c r="BC147" s="19">
        <f t="shared" si="190"/>
        <v>0</v>
      </c>
      <c r="BD147" s="19">
        <f t="shared" si="191"/>
        <v>0</v>
      </c>
      <c r="BE147" s="19">
        <v>0</v>
      </c>
      <c r="BF147" s="19">
        <f t="shared" si="192"/>
        <v>0</v>
      </c>
      <c r="BH147" s="19">
        <f t="shared" si="193"/>
        <v>0</v>
      </c>
      <c r="BI147" s="19">
        <f t="shared" si="194"/>
        <v>0</v>
      </c>
      <c r="BJ147" s="19">
        <f t="shared" si="195"/>
        <v>0</v>
      </c>
      <c r="BK147" s="19"/>
      <c r="BL147" s="19">
        <v>731</v>
      </c>
    </row>
    <row r="148" spans="1:64" ht="15" customHeight="1">
      <c r="A148" s="26" t="s">
        <v>263</v>
      </c>
      <c r="B148" s="21" t="s">
        <v>92</v>
      </c>
      <c r="C148" s="21" t="s">
        <v>114</v>
      </c>
      <c r="D148" s="64" t="s">
        <v>151</v>
      </c>
      <c r="E148" s="64"/>
      <c r="F148" s="21" t="s">
        <v>396</v>
      </c>
      <c r="G148" s="19">
        <v>1</v>
      </c>
      <c r="H148" s="19">
        <v>0</v>
      </c>
      <c r="I148" s="19">
        <f t="shared" si="170"/>
        <v>0</v>
      </c>
      <c r="J148" s="19">
        <f t="shared" si="171"/>
        <v>0</v>
      </c>
      <c r="K148" s="19">
        <f t="shared" si="172"/>
        <v>0</v>
      </c>
      <c r="L148" s="19">
        <v>0</v>
      </c>
      <c r="M148" s="19">
        <f t="shared" si="173"/>
        <v>0</v>
      </c>
      <c r="N148" s="41" t="s">
        <v>476</v>
      </c>
      <c r="Z148" s="19">
        <f t="shared" si="174"/>
        <v>0</v>
      </c>
      <c r="AB148" s="19">
        <f t="shared" si="175"/>
        <v>0</v>
      </c>
      <c r="AC148" s="19">
        <f t="shared" si="176"/>
        <v>0</v>
      </c>
      <c r="AD148" s="19">
        <f t="shared" si="177"/>
        <v>0</v>
      </c>
      <c r="AE148" s="19">
        <f t="shared" si="178"/>
        <v>0</v>
      </c>
      <c r="AF148" s="19">
        <f t="shared" si="179"/>
        <v>0</v>
      </c>
      <c r="AG148" s="19">
        <f t="shared" si="180"/>
        <v>0</v>
      </c>
      <c r="AH148" s="19">
        <f t="shared" si="181"/>
        <v>0</v>
      </c>
      <c r="AI148" s="51" t="s">
        <v>92</v>
      </c>
      <c r="AJ148" s="19">
        <f t="shared" si="182"/>
        <v>0</v>
      </c>
      <c r="AK148" s="19">
        <f t="shared" si="183"/>
        <v>0</v>
      </c>
      <c r="AL148" s="19">
        <f t="shared" si="184"/>
        <v>0</v>
      </c>
      <c r="AN148" s="19">
        <v>21</v>
      </c>
      <c r="AO148" s="19">
        <f t="shared" si="185"/>
        <v>0</v>
      </c>
      <c r="AP148" s="19">
        <f t="shared" si="186"/>
        <v>0</v>
      </c>
      <c r="AQ148" s="3" t="s">
        <v>575</v>
      </c>
      <c r="AV148" s="19">
        <f t="shared" si="187"/>
        <v>0</v>
      </c>
      <c r="AW148" s="19">
        <f t="shared" si="188"/>
        <v>0</v>
      </c>
      <c r="AX148" s="19">
        <f t="shared" si="189"/>
        <v>0</v>
      </c>
      <c r="AY148" s="3" t="s">
        <v>158</v>
      </c>
      <c r="AZ148" s="3" t="s">
        <v>308</v>
      </c>
      <c r="BA148" s="51" t="s">
        <v>637</v>
      </c>
      <c r="BC148" s="19">
        <f t="shared" si="190"/>
        <v>0</v>
      </c>
      <c r="BD148" s="19">
        <f t="shared" si="191"/>
        <v>0</v>
      </c>
      <c r="BE148" s="19">
        <v>0</v>
      </c>
      <c r="BF148" s="19">
        <f t="shared" si="192"/>
        <v>0</v>
      </c>
      <c r="BH148" s="19">
        <f t="shared" si="193"/>
        <v>0</v>
      </c>
      <c r="BI148" s="19">
        <f t="shared" si="194"/>
        <v>0</v>
      </c>
      <c r="BJ148" s="19">
        <f t="shared" si="195"/>
        <v>0</v>
      </c>
      <c r="BK148" s="19"/>
      <c r="BL148" s="19">
        <v>731</v>
      </c>
    </row>
    <row r="149" spans="1:64" ht="15" customHeight="1">
      <c r="A149" s="26" t="s">
        <v>239</v>
      </c>
      <c r="B149" s="21" t="s">
        <v>92</v>
      </c>
      <c r="C149" s="21" t="s">
        <v>438</v>
      </c>
      <c r="D149" s="64" t="s">
        <v>157</v>
      </c>
      <c r="E149" s="64"/>
      <c r="F149" s="21" t="s">
        <v>396</v>
      </c>
      <c r="G149" s="19">
        <v>1</v>
      </c>
      <c r="H149" s="19">
        <v>0</v>
      </c>
      <c r="I149" s="19">
        <f t="shared" si="170"/>
        <v>0</v>
      </c>
      <c r="J149" s="19">
        <f t="shared" si="171"/>
        <v>0</v>
      </c>
      <c r="K149" s="19">
        <f t="shared" si="172"/>
        <v>0</v>
      </c>
      <c r="L149" s="19">
        <v>0</v>
      </c>
      <c r="M149" s="19">
        <f t="shared" si="173"/>
        <v>0</v>
      </c>
      <c r="N149" s="41" t="s">
        <v>476</v>
      </c>
      <c r="Z149" s="19">
        <f t="shared" si="174"/>
        <v>0</v>
      </c>
      <c r="AB149" s="19">
        <f t="shared" si="175"/>
        <v>0</v>
      </c>
      <c r="AC149" s="19">
        <f t="shared" si="176"/>
        <v>0</v>
      </c>
      <c r="AD149" s="19">
        <f t="shared" si="177"/>
        <v>0</v>
      </c>
      <c r="AE149" s="19">
        <f t="shared" si="178"/>
        <v>0</v>
      </c>
      <c r="AF149" s="19">
        <f t="shared" si="179"/>
        <v>0</v>
      </c>
      <c r="AG149" s="19">
        <f t="shared" si="180"/>
        <v>0</v>
      </c>
      <c r="AH149" s="19">
        <f t="shared" si="181"/>
        <v>0</v>
      </c>
      <c r="AI149" s="51" t="s">
        <v>92</v>
      </c>
      <c r="AJ149" s="19">
        <f t="shared" si="182"/>
        <v>0</v>
      </c>
      <c r="AK149" s="19">
        <f t="shared" si="183"/>
        <v>0</v>
      </c>
      <c r="AL149" s="19">
        <f t="shared" si="184"/>
        <v>0</v>
      </c>
      <c r="AN149" s="19">
        <v>21</v>
      </c>
      <c r="AO149" s="19">
        <f t="shared" si="185"/>
        <v>0</v>
      </c>
      <c r="AP149" s="19">
        <f t="shared" si="186"/>
        <v>0</v>
      </c>
      <c r="AQ149" s="3" t="s">
        <v>575</v>
      </c>
      <c r="AV149" s="19">
        <f t="shared" si="187"/>
        <v>0</v>
      </c>
      <c r="AW149" s="19">
        <f t="shared" si="188"/>
        <v>0</v>
      </c>
      <c r="AX149" s="19">
        <f t="shared" si="189"/>
        <v>0</v>
      </c>
      <c r="AY149" s="3" t="s">
        <v>158</v>
      </c>
      <c r="AZ149" s="3" t="s">
        <v>308</v>
      </c>
      <c r="BA149" s="51" t="s">
        <v>637</v>
      </c>
      <c r="BC149" s="19">
        <f t="shared" si="190"/>
        <v>0</v>
      </c>
      <c r="BD149" s="19">
        <f t="shared" si="191"/>
        <v>0</v>
      </c>
      <c r="BE149" s="19">
        <v>0</v>
      </c>
      <c r="BF149" s="19">
        <f t="shared" si="192"/>
        <v>0</v>
      </c>
      <c r="BH149" s="19">
        <f t="shared" si="193"/>
        <v>0</v>
      </c>
      <c r="BI149" s="19">
        <f t="shared" si="194"/>
        <v>0</v>
      </c>
      <c r="BJ149" s="19">
        <f t="shared" si="195"/>
        <v>0</v>
      </c>
      <c r="BK149" s="19"/>
      <c r="BL149" s="19">
        <v>731</v>
      </c>
    </row>
    <row r="150" spans="1:64" ht="15" customHeight="1">
      <c r="A150" s="26" t="s">
        <v>101</v>
      </c>
      <c r="B150" s="21" t="s">
        <v>92</v>
      </c>
      <c r="C150" s="21" t="s">
        <v>568</v>
      </c>
      <c r="D150" s="64" t="s">
        <v>538</v>
      </c>
      <c r="E150" s="64"/>
      <c r="F150" s="21" t="s">
        <v>471</v>
      </c>
      <c r="G150" s="19">
        <v>1</v>
      </c>
      <c r="H150" s="19">
        <v>0</v>
      </c>
      <c r="I150" s="19">
        <f t="shared" si="170"/>
        <v>0</v>
      </c>
      <c r="J150" s="19">
        <f t="shared" si="171"/>
        <v>0</v>
      </c>
      <c r="K150" s="19">
        <f t="shared" si="172"/>
        <v>0</v>
      </c>
      <c r="L150" s="19">
        <v>0</v>
      </c>
      <c r="M150" s="19">
        <f t="shared" si="173"/>
        <v>0</v>
      </c>
      <c r="N150" s="41" t="s">
        <v>476</v>
      </c>
      <c r="Z150" s="19">
        <f t="shared" si="174"/>
        <v>0</v>
      </c>
      <c r="AB150" s="19">
        <f t="shared" si="175"/>
        <v>0</v>
      </c>
      <c r="AC150" s="19">
        <f t="shared" si="176"/>
        <v>0</v>
      </c>
      <c r="AD150" s="19">
        <f t="shared" si="177"/>
        <v>0</v>
      </c>
      <c r="AE150" s="19">
        <f t="shared" si="178"/>
        <v>0</v>
      </c>
      <c r="AF150" s="19">
        <f t="shared" si="179"/>
        <v>0</v>
      </c>
      <c r="AG150" s="19">
        <f t="shared" si="180"/>
        <v>0</v>
      </c>
      <c r="AH150" s="19">
        <f t="shared" si="181"/>
        <v>0</v>
      </c>
      <c r="AI150" s="51" t="s">
        <v>92</v>
      </c>
      <c r="AJ150" s="19">
        <f t="shared" si="182"/>
        <v>0</v>
      </c>
      <c r="AK150" s="19">
        <f t="shared" si="183"/>
        <v>0</v>
      </c>
      <c r="AL150" s="19">
        <f t="shared" si="184"/>
        <v>0</v>
      </c>
      <c r="AN150" s="19">
        <v>21</v>
      </c>
      <c r="AO150" s="19">
        <f t="shared" si="185"/>
        <v>0</v>
      </c>
      <c r="AP150" s="19">
        <f t="shared" si="186"/>
        <v>0</v>
      </c>
      <c r="AQ150" s="3" t="s">
        <v>575</v>
      </c>
      <c r="AV150" s="19">
        <f t="shared" si="187"/>
        <v>0</v>
      </c>
      <c r="AW150" s="19">
        <f t="shared" si="188"/>
        <v>0</v>
      </c>
      <c r="AX150" s="19">
        <f t="shared" si="189"/>
        <v>0</v>
      </c>
      <c r="AY150" s="3" t="s">
        <v>158</v>
      </c>
      <c r="AZ150" s="3" t="s">
        <v>308</v>
      </c>
      <c r="BA150" s="51" t="s">
        <v>637</v>
      </c>
      <c r="BC150" s="19">
        <f t="shared" si="190"/>
        <v>0</v>
      </c>
      <c r="BD150" s="19">
        <f t="shared" si="191"/>
        <v>0</v>
      </c>
      <c r="BE150" s="19">
        <v>0</v>
      </c>
      <c r="BF150" s="19">
        <f t="shared" si="192"/>
        <v>0</v>
      </c>
      <c r="BH150" s="19">
        <f t="shared" si="193"/>
        <v>0</v>
      </c>
      <c r="BI150" s="19">
        <f t="shared" si="194"/>
        <v>0</v>
      </c>
      <c r="BJ150" s="19">
        <f t="shared" si="195"/>
        <v>0</v>
      </c>
      <c r="BK150" s="19"/>
      <c r="BL150" s="19">
        <v>731</v>
      </c>
    </row>
    <row r="151" spans="1:64" ht="15" customHeight="1">
      <c r="A151" s="26" t="s">
        <v>129</v>
      </c>
      <c r="B151" s="21" t="s">
        <v>92</v>
      </c>
      <c r="C151" s="21" t="s">
        <v>54</v>
      </c>
      <c r="D151" s="64" t="s">
        <v>519</v>
      </c>
      <c r="E151" s="64"/>
      <c r="F151" s="21" t="s">
        <v>396</v>
      </c>
      <c r="G151" s="19">
        <v>1</v>
      </c>
      <c r="H151" s="19">
        <v>0</v>
      </c>
      <c r="I151" s="19">
        <f t="shared" si="170"/>
        <v>0</v>
      </c>
      <c r="J151" s="19">
        <f t="shared" si="171"/>
        <v>0</v>
      </c>
      <c r="K151" s="19">
        <f t="shared" si="172"/>
        <v>0</v>
      </c>
      <c r="L151" s="19">
        <v>0</v>
      </c>
      <c r="M151" s="19">
        <f t="shared" si="173"/>
        <v>0</v>
      </c>
      <c r="N151" s="41" t="s">
        <v>476</v>
      </c>
      <c r="Z151" s="19">
        <f t="shared" si="174"/>
        <v>0</v>
      </c>
      <c r="AB151" s="19">
        <f t="shared" si="175"/>
        <v>0</v>
      </c>
      <c r="AC151" s="19">
        <f t="shared" si="176"/>
        <v>0</v>
      </c>
      <c r="AD151" s="19">
        <f t="shared" si="177"/>
        <v>0</v>
      </c>
      <c r="AE151" s="19">
        <f t="shared" si="178"/>
        <v>0</v>
      </c>
      <c r="AF151" s="19">
        <f t="shared" si="179"/>
        <v>0</v>
      </c>
      <c r="AG151" s="19">
        <f t="shared" si="180"/>
        <v>0</v>
      </c>
      <c r="AH151" s="19">
        <f t="shared" si="181"/>
        <v>0</v>
      </c>
      <c r="AI151" s="51" t="s">
        <v>92</v>
      </c>
      <c r="AJ151" s="19">
        <f t="shared" si="182"/>
        <v>0</v>
      </c>
      <c r="AK151" s="19">
        <f t="shared" si="183"/>
        <v>0</v>
      </c>
      <c r="AL151" s="19">
        <f t="shared" si="184"/>
        <v>0</v>
      </c>
      <c r="AN151" s="19">
        <v>21</v>
      </c>
      <c r="AO151" s="19">
        <f t="shared" si="185"/>
        <v>0</v>
      </c>
      <c r="AP151" s="19">
        <f t="shared" si="186"/>
        <v>0</v>
      </c>
      <c r="AQ151" s="3" t="s">
        <v>575</v>
      </c>
      <c r="AV151" s="19">
        <f t="shared" si="187"/>
        <v>0</v>
      </c>
      <c r="AW151" s="19">
        <f t="shared" si="188"/>
        <v>0</v>
      </c>
      <c r="AX151" s="19">
        <f t="shared" si="189"/>
        <v>0</v>
      </c>
      <c r="AY151" s="3" t="s">
        <v>158</v>
      </c>
      <c r="AZ151" s="3" t="s">
        <v>308</v>
      </c>
      <c r="BA151" s="51" t="s">
        <v>637</v>
      </c>
      <c r="BC151" s="19">
        <f t="shared" si="190"/>
        <v>0</v>
      </c>
      <c r="BD151" s="19">
        <f t="shared" si="191"/>
        <v>0</v>
      </c>
      <c r="BE151" s="19">
        <v>0</v>
      </c>
      <c r="BF151" s="19">
        <f t="shared" si="192"/>
        <v>0</v>
      </c>
      <c r="BH151" s="19">
        <f t="shared" si="193"/>
        <v>0</v>
      </c>
      <c r="BI151" s="19">
        <f t="shared" si="194"/>
        <v>0</v>
      </c>
      <c r="BJ151" s="19">
        <f t="shared" si="195"/>
        <v>0</v>
      </c>
      <c r="BK151" s="19"/>
      <c r="BL151" s="19">
        <v>731</v>
      </c>
    </row>
    <row r="152" spans="1:64" ht="15" customHeight="1">
      <c r="A152" s="26" t="s">
        <v>65</v>
      </c>
      <c r="B152" s="21" t="s">
        <v>92</v>
      </c>
      <c r="C152" s="21" t="s">
        <v>156</v>
      </c>
      <c r="D152" s="64" t="s">
        <v>245</v>
      </c>
      <c r="E152" s="64"/>
      <c r="F152" s="21" t="s">
        <v>396</v>
      </c>
      <c r="G152" s="19">
        <v>7</v>
      </c>
      <c r="H152" s="19">
        <v>0</v>
      </c>
      <c r="I152" s="19">
        <f t="shared" si="170"/>
        <v>0</v>
      </c>
      <c r="J152" s="19">
        <f t="shared" si="171"/>
        <v>0</v>
      </c>
      <c r="K152" s="19">
        <f t="shared" si="172"/>
        <v>0</v>
      </c>
      <c r="L152" s="19">
        <v>0</v>
      </c>
      <c r="M152" s="19">
        <f t="shared" si="173"/>
        <v>0</v>
      </c>
      <c r="N152" s="41" t="s">
        <v>476</v>
      </c>
      <c r="Z152" s="19">
        <f t="shared" si="174"/>
        <v>0</v>
      </c>
      <c r="AB152" s="19">
        <f t="shared" si="175"/>
        <v>0</v>
      </c>
      <c r="AC152" s="19">
        <f t="shared" si="176"/>
        <v>0</v>
      </c>
      <c r="AD152" s="19">
        <f t="shared" si="177"/>
        <v>0</v>
      </c>
      <c r="AE152" s="19">
        <f t="shared" si="178"/>
        <v>0</v>
      </c>
      <c r="AF152" s="19">
        <f t="shared" si="179"/>
        <v>0</v>
      </c>
      <c r="AG152" s="19">
        <f t="shared" si="180"/>
        <v>0</v>
      </c>
      <c r="AH152" s="19">
        <f t="shared" si="181"/>
        <v>0</v>
      </c>
      <c r="AI152" s="51" t="s">
        <v>92</v>
      </c>
      <c r="AJ152" s="19">
        <f t="shared" si="182"/>
        <v>0</v>
      </c>
      <c r="AK152" s="19">
        <f t="shared" si="183"/>
        <v>0</v>
      </c>
      <c r="AL152" s="19">
        <f t="shared" si="184"/>
        <v>0</v>
      </c>
      <c r="AN152" s="19">
        <v>21</v>
      </c>
      <c r="AO152" s="19">
        <f t="shared" si="185"/>
        <v>0</v>
      </c>
      <c r="AP152" s="19">
        <f t="shared" si="186"/>
        <v>0</v>
      </c>
      <c r="AQ152" s="3" t="s">
        <v>575</v>
      </c>
      <c r="AV152" s="19">
        <f t="shared" si="187"/>
        <v>0</v>
      </c>
      <c r="AW152" s="19">
        <f t="shared" si="188"/>
        <v>0</v>
      </c>
      <c r="AX152" s="19">
        <f t="shared" si="189"/>
        <v>0</v>
      </c>
      <c r="AY152" s="3" t="s">
        <v>158</v>
      </c>
      <c r="AZ152" s="3" t="s">
        <v>308</v>
      </c>
      <c r="BA152" s="51" t="s">
        <v>637</v>
      </c>
      <c r="BC152" s="19">
        <f t="shared" si="190"/>
        <v>0</v>
      </c>
      <c r="BD152" s="19">
        <f t="shared" si="191"/>
        <v>0</v>
      </c>
      <c r="BE152" s="19">
        <v>0</v>
      </c>
      <c r="BF152" s="19">
        <f t="shared" si="192"/>
        <v>0</v>
      </c>
      <c r="BH152" s="19">
        <f t="shared" si="193"/>
        <v>0</v>
      </c>
      <c r="BI152" s="19">
        <f t="shared" si="194"/>
        <v>0</v>
      </c>
      <c r="BJ152" s="19">
        <f t="shared" si="195"/>
        <v>0</v>
      </c>
      <c r="BK152" s="19"/>
      <c r="BL152" s="19">
        <v>731</v>
      </c>
    </row>
    <row r="153" spans="1:64" ht="15" customHeight="1">
      <c r="A153" s="26" t="s">
        <v>82</v>
      </c>
      <c r="B153" s="21" t="s">
        <v>92</v>
      </c>
      <c r="C153" s="21" t="s">
        <v>206</v>
      </c>
      <c r="D153" s="64" t="s">
        <v>465</v>
      </c>
      <c r="E153" s="64"/>
      <c r="F153" s="21" t="s">
        <v>396</v>
      </c>
      <c r="G153" s="19">
        <v>1</v>
      </c>
      <c r="H153" s="19">
        <v>0</v>
      </c>
      <c r="I153" s="19">
        <f t="shared" si="170"/>
        <v>0</v>
      </c>
      <c r="J153" s="19">
        <f t="shared" si="171"/>
        <v>0</v>
      </c>
      <c r="K153" s="19">
        <f t="shared" si="172"/>
        <v>0</v>
      </c>
      <c r="L153" s="19">
        <v>0</v>
      </c>
      <c r="M153" s="19">
        <f t="shared" si="173"/>
        <v>0</v>
      </c>
      <c r="N153" s="41" t="s">
        <v>476</v>
      </c>
      <c r="Z153" s="19">
        <f t="shared" si="174"/>
        <v>0</v>
      </c>
      <c r="AB153" s="19">
        <f t="shared" si="175"/>
        <v>0</v>
      </c>
      <c r="AC153" s="19">
        <f t="shared" si="176"/>
        <v>0</v>
      </c>
      <c r="AD153" s="19">
        <f t="shared" si="177"/>
        <v>0</v>
      </c>
      <c r="AE153" s="19">
        <f t="shared" si="178"/>
        <v>0</v>
      </c>
      <c r="AF153" s="19">
        <f t="shared" si="179"/>
        <v>0</v>
      </c>
      <c r="AG153" s="19">
        <f t="shared" si="180"/>
        <v>0</v>
      </c>
      <c r="AH153" s="19">
        <f t="shared" si="181"/>
        <v>0</v>
      </c>
      <c r="AI153" s="51" t="s">
        <v>92</v>
      </c>
      <c r="AJ153" s="19">
        <f t="shared" si="182"/>
        <v>0</v>
      </c>
      <c r="AK153" s="19">
        <f t="shared" si="183"/>
        <v>0</v>
      </c>
      <c r="AL153" s="19">
        <f t="shared" si="184"/>
        <v>0</v>
      </c>
      <c r="AN153" s="19">
        <v>21</v>
      </c>
      <c r="AO153" s="19">
        <f t="shared" si="185"/>
        <v>0</v>
      </c>
      <c r="AP153" s="19">
        <f t="shared" si="186"/>
        <v>0</v>
      </c>
      <c r="AQ153" s="3" t="s">
        <v>575</v>
      </c>
      <c r="AV153" s="19">
        <f t="shared" si="187"/>
        <v>0</v>
      </c>
      <c r="AW153" s="19">
        <f t="shared" si="188"/>
        <v>0</v>
      </c>
      <c r="AX153" s="19">
        <f t="shared" si="189"/>
        <v>0</v>
      </c>
      <c r="AY153" s="3" t="s">
        <v>158</v>
      </c>
      <c r="AZ153" s="3" t="s">
        <v>308</v>
      </c>
      <c r="BA153" s="51" t="s">
        <v>637</v>
      </c>
      <c r="BC153" s="19">
        <f t="shared" si="190"/>
        <v>0</v>
      </c>
      <c r="BD153" s="19">
        <f t="shared" si="191"/>
        <v>0</v>
      </c>
      <c r="BE153" s="19">
        <v>0</v>
      </c>
      <c r="BF153" s="19">
        <f t="shared" si="192"/>
        <v>0</v>
      </c>
      <c r="BH153" s="19">
        <f t="shared" si="193"/>
        <v>0</v>
      </c>
      <c r="BI153" s="19">
        <f t="shared" si="194"/>
        <v>0</v>
      </c>
      <c r="BJ153" s="19">
        <f t="shared" si="195"/>
        <v>0</v>
      </c>
      <c r="BK153" s="19"/>
      <c r="BL153" s="19">
        <v>731</v>
      </c>
    </row>
    <row r="154" spans="1:64" ht="15" customHeight="1">
      <c r="A154" s="26" t="s">
        <v>531</v>
      </c>
      <c r="B154" s="21" t="s">
        <v>92</v>
      </c>
      <c r="C154" s="21" t="s">
        <v>164</v>
      </c>
      <c r="D154" s="64" t="s">
        <v>205</v>
      </c>
      <c r="E154" s="64"/>
      <c r="F154" s="21" t="s">
        <v>442</v>
      </c>
      <c r="G154" s="19">
        <v>1</v>
      </c>
      <c r="H154" s="19">
        <v>0</v>
      </c>
      <c r="I154" s="19">
        <f t="shared" si="170"/>
        <v>0</v>
      </c>
      <c r="J154" s="19">
        <f t="shared" si="171"/>
        <v>0</v>
      </c>
      <c r="K154" s="19">
        <f t="shared" si="172"/>
        <v>0</v>
      </c>
      <c r="L154" s="19">
        <v>0</v>
      </c>
      <c r="M154" s="19">
        <f t="shared" si="173"/>
        <v>0</v>
      </c>
      <c r="N154" s="41" t="s">
        <v>476</v>
      </c>
      <c r="Z154" s="19">
        <f t="shared" si="174"/>
        <v>0</v>
      </c>
      <c r="AB154" s="19">
        <f t="shared" si="175"/>
        <v>0</v>
      </c>
      <c r="AC154" s="19">
        <f t="shared" si="176"/>
        <v>0</v>
      </c>
      <c r="AD154" s="19">
        <f t="shared" si="177"/>
        <v>0</v>
      </c>
      <c r="AE154" s="19">
        <f t="shared" si="178"/>
        <v>0</v>
      </c>
      <c r="AF154" s="19">
        <f t="shared" si="179"/>
        <v>0</v>
      </c>
      <c r="AG154" s="19">
        <f t="shared" si="180"/>
        <v>0</v>
      </c>
      <c r="AH154" s="19">
        <f t="shared" si="181"/>
        <v>0</v>
      </c>
      <c r="AI154" s="51" t="s">
        <v>92</v>
      </c>
      <c r="AJ154" s="19">
        <f t="shared" si="182"/>
        <v>0</v>
      </c>
      <c r="AK154" s="19">
        <f t="shared" si="183"/>
        <v>0</v>
      </c>
      <c r="AL154" s="19">
        <f t="shared" si="184"/>
        <v>0</v>
      </c>
      <c r="AN154" s="19">
        <v>21</v>
      </c>
      <c r="AO154" s="19">
        <f t="shared" si="185"/>
        <v>0</v>
      </c>
      <c r="AP154" s="19">
        <f t="shared" si="186"/>
        <v>0</v>
      </c>
      <c r="AQ154" s="3" t="s">
        <v>575</v>
      </c>
      <c r="AV154" s="19">
        <f t="shared" si="187"/>
        <v>0</v>
      </c>
      <c r="AW154" s="19">
        <f t="shared" si="188"/>
        <v>0</v>
      </c>
      <c r="AX154" s="19">
        <f t="shared" si="189"/>
        <v>0</v>
      </c>
      <c r="AY154" s="3" t="s">
        <v>158</v>
      </c>
      <c r="AZ154" s="3" t="s">
        <v>308</v>
      </c>
      <c r="BA154" s="51" t="s">
        <v>637</v>
      </c>
      <c r="BC154" s="19">
        <f t="shared" si="190"/>
        <v>0</v>
      </c>
      <c r="BD154" s="19">
        <f t="shared" si="191"/>
        <v>0</v>
      </c>
      <c r="BE154" s="19">
        <v>0</v>
      </c>
      <c r="BF154" s="19">
        <f t="shared" si="192"/>
        <v>0</v>
      </c>
      <c r="BH154" s="19">
        <f t="shared" si="193"/>
        <v>0</v>
      </c>
      <c r="BI154" s="19">
        <f t="shared" si="194"/>
        <v>0</v>
      </c>
      <c r="BJ154" s="19">
        <f t="shared" si="195"/>
        <v>0</v>
      </c>
      <c r="BK154" s="19"/>
      <c r="BL154" s="19">
        <v>731</v>
      </c>
    </row>
    <row r="155" spans="1:64" ht="15" customHeight="1">
      <c r="A155" s="26" t="s">
        <v>416</v>
      </c>
      <c r="B155" s="21" t="s">
        <v>92</v>
      </c>
      <c r="C155" s="21" t="s">
        <v>481</v>
      </c>
      <c r="D155" s="64" t="s">
        <v>273</v>
      </c>
      <c r="E155" s="64"/>
      <c r="F155" s="21" t="s">
        <v>442</v>
      </c>
      <c r="G155" s="19">
        <v>1</v>
      </c>
      <c r="H155" s="19">
        <v>0</v>
      </c>
      <c r="I155" s="19">
        <f t="shared" si="170"/>
        <v>0</v>
      </c>
      <c r="J155" s="19">
        <f t="shared" si="171"/>
        <v>0</v>
      </c>
      <c r="K155" s="19">
        <f t="shared" si="172"/>
        <v>0</v>
      </c>
      <c r="L155" s="19">
        <v>0</v>
      </c>
      <c r="M155" s="19">
        <f t="shared" si="173"/>
        <v>0</v>
      </c>
      <c r="N155" s="41" t="s">
        <v>476</v>
      </c>
      <c r="Z155" s="19">
        <f t="shared" si="174"/>
        <v>0</v>
      </c>
      <c r="AB155" s="19">
        <f t="shared" si="175"/>
        <v>0</v>
      </c>
      <c r="AC155" s="19">
        <f t="shared" si="176"/>
        <v>0</v>
      </c>
      <c r="AD155" s="19">
        <f t="shared" si="177"/>
        <v>0</v>
      </c>
      <c r="AE155" s="19">
        <f t="shared" si="178"/>
        <v>0</v>
      </c>
      <c r="AF155" s="19">
        <f t="shared" si="179"/>
        <v>0</v>
      </c>
      <c r="AG155" s="19">
        <f t="shared" si="180"/>
        <v>0</v>
      </c>
      <c r="AH155" s="19">
        <f t="shared" si="181"/>
        <v>0</v>
      </c>
      <c r="AI155" s="51" t="s">
        <v>92</v>
      </c>
      <c r="AJ155" s="19">
        <f t="shared" si="182"/>
        <v>0</v>
      </c>
      <c r="AK155" s="19">
        <f t="shared" si="183"/>
        <v>0</v>
      </c>
      <c r="AL155" s="19">
        <f t="shared" si="184"/>
        <v>0</v>
      </c>
      <c r="AN155" s="19">
        <v>21</v>
      </c>
      <c r="AO155" s="19">
        <f t="shared" si="185"/>
        <v>0</v>
      </c>
      <c r="AP155" s="19">
        <f t="shared" si="186"/>
        <v>0</v>
      </c>
      <c r="AQ155" s="3" t="s">
        <v>575</v>
      </c>
      <c r="AV155" s="19">
        <f t="shared" si="187"/>
        <v>0</v>
      </c>
      <c r="AW155" s="19">
        <f t="shared" si="188"/>
        <v>0</v>
      </c>
      <c r="AX155" s="19">
        <f t="shared" si="189"/>
        <v>0</v>
      </c>
      <c r="AY155" s="3" t="s">
        <v>158</v>
      </c>
      <c r="AZ155" s="3" t="s">
        <v>308</v>
      </c>
      <c r="BA155" s="51" t="s">
        <v>637</v>
      </c>
      <c r="BC155" s="19">
        <f t="shared" si="190"/>
        <v>0</v>
      </c>
      <c r="BD155" s="19">
        <f t="shared" si="191"/>
        <v>0</v>
      </c>
      <c r="BE155" s="19">
        <v>0</v>
      </c>
      <c r="BF155" s="19">
        <f t="shared" si="192"/>
        <v>0</v>
      </c>
      <c r="BH155" s="19">
        <f t="shared" si="193"/>
        <v>0</v>
      </c>
      <c r="BI155" s="19">
        <f t="shared" si="194"/>
        <v>0</v>
      </c>
      <c r="BJ155" s="19">
        <f t="shared" si="195"/>
        <v>0</v>
      </c>
      <c r="BK155" s="19"/>
      <c r="BL155" s="19">
        <v>731</v>
      </c>
    </row>
    <row r="156" spans="1:64" ht="15" customHeight="1">
      <c r="A156" s="26" t="s">
        <v>274</v>
      </c>
      <c r="B156" s="21" t="s">
        <v>92</v>
      </c>
      <c r="C156" s="21" t="s">
        <v>315</v>
      </c>
      <c r="D156" s="64" t="s">
        <v>316</v>
      </c>
      <c r="E156" s="64"/>
      <c r="F156" s="21" t="s">
        <v>442</v>
      </c>
      <c r="G156" s="19">
        <v>1</v>
      </c>
      <c r="H156" s="19">
        <v>0</v>
      </c>
      <c r="I156" s="19">
        <f t="shared" si="170"/>
        <v>0</v>
      </c>
      <c r="J156" s="19">
        <f t="shared" si="171"/>
        <v>0</v>
      </c>
      <c r="K156" s="19">
        <f t="shared" si="172"/>
        <v>0</v>
      </c>
      <c r="L156" s="19">
        <v>0</v>
      </c>
      <c r="M156" s="19">
        <f t="shared" si="173"/>
        <v>0</v>
      </c>
      <c r="N156" s="41" t="s">
        <v>476</v>
      </c>
      <c r="Z156" s="19">
        <f t="shared" si="174"/>
        <v>0</v>
      </c>
      <c r="AB156" s="19">
        <f t="shared" si="175"/>
        <v>0</v>
      </c>
      <c r="AC156" s="19">
        <f t="shared" si="176"/>
        <v>0</v>
      </c>
      <c r="AD156" s="19">
        <f t="shared" si="177"/>
        <v>0</v>
      </c>
      <c r="AE156" s="19">
        <f t="shared" si="178"/>
        <v>0</v>
      </c>
      <c r="AF156" s="19">
        <f t="shared" si="179"/>
        <v>0</v>
      </c>
      <c r="AG156" s="19">
        <f t="shared" si="180"/>
        <v>0</v>
      </c>
      <c r="AH156" s="19">
        <f t="shared" si="181"/>
        <v>0</v>
      </c>
      <c r="AI156" s="51" t="s">
        <v>92</v>
      </c>
      <c r="AJ156" s="19">
        <f t="shared" si="182"/>
        <v>0</v>
      </c>
      <c r="AK156" s="19">
        <f t="shared" si="183"/>
        <v>0</v>
      </c>
      <c r="AL156" s="19">
        <f t="shared" si="184"/>
        <v>0</v>
      </c>
      <c r="AN156" s="19">
        <v>21</v>
      </c>
      <c r="AO156" s="19">
        <f>H156*0.368421052631579</f>
        <v>0</v>
      </c>
      <c r="AP156" s="19">
        <f>H156*(1-0.368421052631579)</f>
        <v>0</v>
      </c>
      <c r="AQ156" s="3" t="s">
        <v>575</v>
      </c>
      <c r="AV156" s="19">
        <f t="shared" si="187"/>
        <v>0</v>
      </c>
      <c r="AW156" s="19">
        <f t="shared" si="188"/>
        <v>0</v>
      </c>
      <c r="AX156" s="19">
        <f t="shared" si="189"/>
        <v>0</v>
      </c>
      <c r="AY156" s="3" t="s">
        <v>158</v>
      </c>
      <c r="AZ156" s="3" t="s">
        <v>308</v>
      </c>
      <c r="BA156" s="51" t="s">
        <v>637</v>
      </c>
      <c r="BC156" s="19">
        <f t="shared" si="190"/>
        <v>0</v>
      </c>
      <c r="BD156" s="19">
        <f t="shared" si="191"/>
        <v>0</v>
      </c>
      <c r="BE156" s="19">
        <v>0</v>
      </c>
      <c r="BF156" s="19">
        <f t="shared" si="192"/>
        <v>0</v>
      </c>
      <c r="BH156" s="19">
        <f t="shared" si="193"/>
        <v>0</v>
      </c>
      <c r="BI156" s="19">
        <f t="shared" si="194"/>
        <v>0</v>
      </c>
      <c r="BJ156" s="19">
        <f t="shared" si="195"/>
        <v>0</v>
      </c>
      <c r="BK156" s="19"/>
      <c r="BL156" s="19">
        <v>731</v>
      </c>
    </row>
    <row r="157" spans="1:64" ht="15" customHeight="1">
      <c r="A157" s="26" t="s">
        <v>414</v>
      </c>
      <c r="B157" s="21" t="s">
        <v>92</v>
      </c>
      <c r="C157" s="21" t="s">
        <v>33</v>
      </c>
      <c r="D157" s="64" t="s">
        <v>647</v>
      </c>
      <c r="E157" s="64"/>
      <c r="F157" s="21" t="s">
        <v>442</v>
      </c>
      <c r="G157" s="19">
        <v>1</v>
      </c>
      <c r="H157" s="19">
        <v>0</v>
      </c>
      <c r="I157" s="19">
        <f t="shared" si="170"/>
        <v>0</v>
      </c>
      <c r="J157" s="19">
        <f t="shared" si="171"/>
        <v>0</v>
      </c>
      <c r="K157" s="19">
        <f t="shared" si="172"/>
        <v>0</v>
      </c>
      <c r="L157" s="19">
        <v>0</v>
      </c>
      <c r="M157" s="19">
        <f t="shared" si="173"/>
        <v>0</v>
      </c>
      <c r="N157" s="41" t="s">
        <v>476</v>
      </c>
      <c r="Z157" s="19">
        <f t="shared" si="174"/>
        <v>0</v>
      </c>
      <c r="AB157" s="19">
        <f t="shared" si="175"/>
        <v>0</v>
      </c>
      <c r="AC157" s="19">
        <f t="shared" si="176"/>
        <v>0</v>
      </c>
      <c r="AD157" s="19">
        <f t="shared" si="177"/>
        <v>0</v>
      </c>
      <c r="AE157" s="19">
        <f t="shared" si="178"/>
        <v>0</v>
      </c>
      <c r="AF157" s="19">
        <f t="shared" si="179"/>
        <v>0</v>
      </c>
      <c r="AG157" s="19">
        <f t="shared" si="180"/>
        <v>0</v>
      </c>
      <c r="AH157" s="19">
        <f t="shared" si="181"/>
        <v>0</v>
      </c>
      <c r="AI157" s="51" t="s">
        <v>92</v>
      </c>
      <c r="AJ157" s="19">
        <f t="shared" si="182"/>
        <v>0</v>
      </c>
      <c r="AK157" s="19">
        <f t="shared" si="183"/>
        <v>0</v>
      </c>
      <c r="AL157" s="19">
        <f t="shared" si="184"/>
        <v>0</v>
      </c>
      <c r="AN157" s="19">
        <v>21</v>
      </c>
      <c r="AO157" s="19">
        <f>H157*0</f>
        <v>0</v>
      </c>
      <c r="AP157" s="19">
        <f>H157*(1-0)</f>
        <v>0</v>
      </c>
      <c r="AQ157" s="3" t="s">
        <v>575</v>
      </c>
      <c r="AV157" s="19">
        <f t="shared" si="187"/>
        <v>0</v>
      </c>
      <c r="AW157" s="19">
        <f t="shared" si="188"/>
        <v>0</v>
      </c>
      <c r="AX157" s="19">
        <f t="shared" si="189"/>
        <v>0</v>
      </c>
      <c r="AY157" s="3" t="s">
        <v>158</v>
      </c>
      <c r="AZ157" s="3" t="s">
        <v>308</v>
      </c>
      <c r="BA157" s="51" t="s">
        <v>637</v>
      </c>
      <c r="BC157" s="19">
        <f t="shared" si="190"/>
        <v>0</v>
      </c>
      <c r="BD157" s="19">
        <f t="shared" si="191"/>
        <v>0</v>
      </c>
      <c r="BE157" s="19">
        <v>0</v>
      </c>
      <c r="BF157" s="19">
        <f t="shared" si="192"/>
        <v>0</v>
      </c>
      <c r="BH157" s="19">
        <f t="shared" si="193"/>
        <v>0</v>
      </c>
      <c r="BI157" s="19">
        <f t="shared" si="194"/>
        <v>0</v>
      </c>
      <c r="BJ157" s="19">
        <f t="shared" si="195"/>
        <v>0</v>
      </c>
      <c r="BK157" s="19"/>
      <c r="BL157" s="19">
        <v>731</v>
      </c>
    </row>
    <row r="158" spans="1:14" ht="15" customHeight="1">
      <c r="A158" s="61" t="s">
        <v>392</v>
      </c>
      <c r="B158" s="36" t="s">
        <v>458</v>
      </c>
      <c r="C158" s="36" t="s">
        <v>392</v>
      </c>
      <c r="D158" s="68" t="s">
        <v>573</v>
      </c>
      <c r="E158" s="68"/>
      <c r="F158" s="1" t="s">
        <v>525</v>
      </c>
      <c r="G158" s="1" t="s">
        <v>525</v>
      </c>
      <c r="H158" s="1" t="s">
        <v>525</v>
      </c>
      <c r="I158" s="33">
        <f>I159</f>
        <v>0</v>
      </c>
      <c r="J158" s="33">
        <f>J159</f>
        <v>0</v>
      </c>
      <c r="K158" s="33">
        <f>K159</f>
        <v>0</v>
      </c>
      <c r="L158" s="51" t="s">
        <v>392</v>
      </c>
      <c r="M158" s="33">
        <f>M159</f>
        <v>0</v>
      </c>
      <c r="N158" s="58" t="s">
        <v>392</v>
      </c>
    </row>
    <row r="159" spans="1:47" ht="15" customHeight="1">
      <c r="A159" s="29" t="s">
        <v>392</v>
      </c>
      <c r="B159" s="47" t="s">
        <v>458</v>
      </c>
      <c r="C159" s="47" t="s">
        <v>0</v>
      </c>
      <c r="D159" s="68" t="s">
        <v>573</v>
      </c>
      <c r="E159" s="68"/>
      <c r="F159" s="17" t="s">
        <v>525</v>
      </c>
      <c r="G159" s="17" t="s">
        <v>525</v>
      </c>
      <c r="H159" s="17" t="s">
        <v>525</v>
      </c>
      <c r="I159" s="40">
        <f>SUM(I160:I160)</f>
        <v>0</v>
      </c>
      <c r="J159" s="40">
        <f>SUM(J160:J160)</f>
        <v>0</v>
      </c>
      <c r="K159" s="40">
        <f>SUM(K160:K160)</f>
        <v>0</v>
      </c>
      <c r="L159" s="56" t="s">
        <v>392</v>
      </c>
      <c r="M159" s="40">
        <f>SUM(M160:M160)</f>
        <v>0</v>
      </c>
      <c r="N159" s="7" t="s">
        <v>392</v>
      </c>
      <c r="AI159" s="51" t="s">
        <v>458</v>
      </c>
      <c r="AS159" s="33">
        <f>SUM(AJ160:AJ160)</f>
        <v>0</v>
      </c>
      <c r="AT159" s="33">
        <f>SUM(AK160:AK160)</f>
        <v>0</v>
      </c>
      <c r="AU159" s="33">
        <f>SUM(AL160:AL160)</f>
        <v>0</v>
      </c>
    </row>
    <row r="160" spans="1:64" ht="15" customHeight="1">
      <c r="A160" s="10" t="s">
        <v>187</v>
      </c>
      <c r="B160" s="49" t="s">
        <v>458</v>
      </c>
      <c r="C160" s="49" t="s">
        <v>126</v>
      </c>
      <c r="D160" s="69" t="s">
        <v>482</v>
      </c>
      <c r="E160" s="69"/>
      <c r="F160" s="49" t="s">
        <v>442</v>
      </c>
      <c r="G160" s="4">
        <v>1</v>
      </c>
      <c r="H160" s="19">
        <v>0</v>
      </c>
      <c r="I160" s="4">
        <f>G160*AO160</f>
        <v>0</v>
      </c>
      <c r="J160" s="4">
        <f>G160*AP160</f>
        <v>0</v>
      </c>
      <c r="K160" s="4">
        <f>G160*H160</f>
        <v>0</v>
      </c>
      <c r="L160" s="4">
        <v>0</v>
      </c>
      <c r="M160" s="4">
        <f>G160*L160</f>
        <v>0</v>
      </c>
      <c r="N160" s="41" t="s">
        <v>476</v>
      </c>
      <c r="Z160" s="19">
        <f>IF(AQ160="5",BJ160,0)</f>
        <v>0</v>
      </c>
      <c r="AB160" s="19">
        <f>IF(AQ160="1",BH160,0)</f>
        <v>0</v>
      </c>
      <c r="AC160" s="19">
        <f>IF(AQ160="1",BI160,0)</f>
        <v>0</v>
      </c>
      <c r="AD160" s="19">
        <f>IF(AQ160="7",BH160,0)</f>
        <v>0</v>
      </c>
      <c r="AE160" s="19">
        <f>IF(AQ160="7",BI160,0)</f>
        <v>0</v>
      </c>
      <c r="AF160" s="19">
        <f>IF(AQ160="2",BH160,0)</f>
        <v>0</v>
      </c>
      <c r="AG160" s="19">
        <f>IF(AQ160="2",BI160,0)</f>
        <v>0</v>
      </c>
      <c r="AH160" s="19">
        <f>IF(AQ160="0",BJ160,0)</f>
        <v>0</v>
      </c>
      <c r="AI160" s="51" t="s">
        <v>458</v>
      </c>
      <c r="AJ160" s="19">
        <f>IF(AN160=0,K160,0)</f>
        <v>0</v>
      </c>
      <c r="AK160" s="19">
        <f>IF(AN160=15,K160,0)</f>
        <v>0</v>
      </c>
      <c r="AL160" s="19">
        <f>IF(AN160=21,K160,0)</f>
        <v>0</v>
      </c>
      <c r="AN160" s="19">
        <v>21</v>
      </c>
      <c r="AO160" s="19">
        <f>H160*0.340910004622114</f>
        <v>0</v>
      </c>
      <c r="AP160" s="19">
        <f>H160*(1-0.340910004622114)</f>
        <v>0</v>
      </c>
      <c r="AQ160" s="3" t="s">
        <v>570</v>
      </c>
      <c r="AV160" s="19">
        <f>AW160+AX160</f>
        <v>0</v>
      </c>
      <c r="AW160" s="19">
        <f>G160*AO160</f>
        <v>0</v>
      </c>
      <c r="AX160" s="19">
        <f>G160*AP160</f>
        <v>0</v>
      </c>
      <c r="AY160" s="3" t="s">
        <v>235</v>
      </c>
      <c r="AZ160" s="3" t="s">
        <v>534</v>
      </c>
      <c r="BA160" s="51" t="s">
        <v>437</v>
      </c>
      <c r="BC160" s="19">
        <f>AW160+AX160</f>
        <v>0</v>
      </c>
      <c r="BD160" s="19">
        <f>H160/(100-BE160)*100</f>
        <v>0</v>
      </c>
      <c r="BE160" s="19">
        <v>0</v>
      </c>
      <c r="BF160" s="19">
        <f>M160</f>
        <v>0</v>
      </c>
      <c r="BH160" s="19">
        <f>G160*AO160</f>
        <v>0</v>
      </c>
      <c r="BI160" s="19">
        <f>G160*AP160</f>
        <v>0</v>
      </c>
      <c r="BJ160" s="19">
        <f>G160*H160</f>
        <v>0</v>
      </c>
      <c r="BK160" s="19"/>
      <c r="BL160" s="19">
        <v>360</v>
      </c>
    </row>
    <row r="161" spans="1:14" ht="15" customHeight="1">
      <c r="A161" s="16" t="s">
        <v>392</v>
      </c>
      <c r="B161" s="14" t="s">
        <v>146</v>
      </c>
      <c r="C161" s="14" t="s">
        <v>392</v>
      </c>
      <c r="D161" s="68" t="s">
        <v>554</v>
      </c>
      <c r="E161" s="68"/>
      <c r="F161" s="20" t="s">
        <v>525</v>
      </c>
      <c r="G161" s="20" t="s">
        <v>525</v>
      </c>
      <c r="H161" s="20" t="s">
        <v>525</v>
      </c>
      <c r="I161" s="38">
        <f>I162</f>
        <v>0</v>
      </c>
      <c r="J161" s="38">
        <f>J162</f>
        <v>0</v>
      </c>
      <c r="K161" s="38">
        <f>K162</f>
        <v>0</v>
      </c>
      <c r="L161" s="11" t="s">
        <v>392</v>
      </c>
      <c r="M161" s="38">
        <f>M162</f>
        <v>0</v>
      </c>
      <c r="N161" s="2" t="s">
        <v>392</v>
      </c>
    </row>
    <row r="162" spans="1:47" ht="15" customHeight="1">
      <c r="A162" s="61" t="s">
        <v>392</v>
      </c>
      <c r="B162" s="36" t="s">
        <v>146</v>
      </c>
      <c r="C162" s="36" t="s">
        <v>643</v>
      </c>
      <c r="D162" s="68" t="s">
        <v>12</v>
      </c>
      <c r="E162" s="68"/>
      <c r="F162" s="1" t="s">
        <v>525</v>
      </c>
      <c r="G162" s="1" t="s">
        <v>525</v>
      </c>
      <c r="H162" s="1" t="s">
        <v>525</v>
      </c>
      <c r="I162" s="33">
        <f>SUM(I163:I163)</f>
        <v>0</v>
      </c>
      <c r="J162" s="33">
        <f>SUM(J163:J163)</f>
        <v>0</v>
      </c>
      <c r="K162" s="33">
        <f>SUM(K163:K163)</f>
        <v>0</v>
      </c>
      <c r="L162" s="51" t="s">
        <v>392</v>
      </c>
      <c r="M162" s="33">
        <f>SUM(M163:M163)</f>
        <v>0</v>
      </c>
      <c r="N162" s="58" t="s">
        <v>392</v>
      </c>
      <c r="AI162" s="51" t="s">
        <v>146</v>
      </c>
      <c r="AS162" s="33">
        <f>SUM(AJ163:AJ163)</f>
        <v>0</v>
      </c>
      <c r="AT162" s="33">
        <f>SUM(AK163:AK163)</f>
        <v>0</v>
      </c>
      <c r="AU162" s="33">
        <f>SUM(AL163:AL163)</f>
        <v>0</v>
      </c>
    </row>
    <row r="163" spans="1:64" ht="15" customHeight="1">
      <c r="A163" s="26" t="s">
        <v>257</v>
      </c>
      <c r="B163" s="21" t="s">
        <v>146</v>
      </c>
      <c r="C163" s="21" t="s">
        <v>123</v>
      </c>
      <c r="D163" s="64" t="s">
        <v>117</v>
      </c>
      <c r="E163" s="64"/>
      <c r="F163" s="21" t="s">
        <v>442</v>
      </c>
      <c r="G163" s="19">
        <v>1</v>
      </c>
      <c r="H163" s="19">
        <v>0</v>
      </c>
      <c r="I163" s="19">
        <f>G163*AO163</f>
        <v>0</v>
      </c>
      <c r="J163" s="19">
        <f>G163*AP163</f>
        <v>0</v>
      </c>
      <c r="K163" s="19">
        <f>G163*H163</f>
        <v>0</v>
      </c>
      <c r="L163" s="19">
        <v>0</v>
      </c>
      <c r="M163" s="19">
        <f>G163*L163</f>
        <v>0</v>
      </c>
      <c r="N163" s="41" t="s">
        <v>476</v>
      </c>
      <c r="Z163" s="19">
        <f>IF(AQ163="5",BJ163,0)</f>
        <v>0</v>
      </c>
      <c r="AB163" s="19">
        <f>IF(AQ163="1",BH163,0)</f>
        <v>0</v>
      </c>
      <c r="AC163" s="19">
        <f>IF(AQ163="1",BI163,0)</f>
        <v>0</v>
      </c>
      <c r="AD163" s="19">
        <f>IF(AQ163="7",BH163,0)</f>
        <v>0</v>
      </c>
      <c r="AE163" s="19">
        <f>IF(AQ163="7",BI163,0)</f>
        <v>0</v>
      </c>
      <c r="AF163" s="19">
        <f>IF(AQ163="2",BH163,0)</f>
        <v>0</v>
      </c>
      <c r="AG163" s="19">
        <f>IF(AQ163="2",BI163,0)</f>
        <v>0</v>
      </c>
      <c r="AH163" s="19">
        <f>IF(AQ163="0",BJ163,0)</f>
        <v>0</v>
      </c>
      <c r="AI163" s="51" t="s">
        <v>146</v>
      </c>
      <c r="AJ163" s="19">
        <f>IF(AN163=0,K163,0)</f>
        <v>0</v>
      </c>
      <c r="AK163" s="19">
        <f>IF(AN163=15,K163,0)</f>
        <v>0</v>
      </c>
      <c r="AL163" s="19">
        <f>IF(AN163=21,K163,0)</f>
        <v>0</v>
      </c>
      <c r="AN163" s="19">
        <v>21</v>
      </c>
      <c r="AO163" s="19">
        <f>H163*0.361702127659574</f>
        <v>0</v>
      </c>
      <c r="AP163" s="19">
        <f>H163*(1-0.361702127659574)</f>
        <v>0</v>
      </c>
      <c r="AQ163" s="3" t="s">
        <v>570</v>
      </c>
      <c r="AV163" s="19">
        <f>AW163+AX163</f>
        <v>0</v>
      </c>
      <c r="AW163" s="19">
        <f>G163*AO163</f>
        <v>0</v>
      </c>
      <c r="AX163" s="19">
        <f>G163*AP163</f>
        <v>0</v>
      </c>
      <c r="AY163" s="3" t="s">
        <v>329</v>
      </c>
      <c r="AZ163" s="3" t="s">
        <v>53</v>
      </c>
      <c r="BA163" s="51" t="s">
        <v>311</v>
      </c>
      <c r="BC163" s="19">
        <f>AW163+AX163</f>
        <v>0</v>
      </c>
      <c r="BD163" s="19">
        <f>H163/(100-BE163)*100</f>
        <v>0</v>
      </c>
      <c r="BE163" s="19">
        <v>0</v>
      </c>
      <c r="BF163" s="19">
        <f>M163</f>
        <v>0</v>
      </c>
      <c r="BH163" s="19">
        <f>G163*AO163</f>
        <v>0</v>
      </c>
      <c r="BI163" s="19">
        <f>G163*AP163</f>
        <v>0</v>
      </c>
      <c r="BJ163" s="19">
        <f>G163*H163</f>
        <v>0</v>
      </c>
      <c r="BK163" s="19"/>
      <c r="BL163" s="19">
        <v>952</v>
      </c>
    </row>
    <row r="164" spans="1:14" ht="15" customHeight="1">
      <c r="A164" s="61" t="s">
        <v>392</v>
      </c>
      <c r="B164" s="36" t="s">
        <v>294</v>
      </c>
      <c r="C164" s="36" t="s">
        <v>392</v>
      </c>
      <c r="D164" s="68" t="s">
        <v>181</v>
      </c>
      <c r="E164" s="68"/>
      <c r="F164" s="1" t="s">
        <v>525</v>
      </c>
      <c r="G164" s="1" t="s">
        <v>525</v>
      </c>
      <c r="H164" s="1" t="s">
        <v>525</v>
      </c>
      <c r="I164" s="33">
        <f>I165+I172+I178+I192+I194+I196+I198+I200+I202</f>
        <v>0</v>
      </c>
      <c r="J164" s="33">
        <f>J165+J172+J178+J192+J194+J196+J198+J200+J202</f>
        <v>0</v>
      </c>
      <c r="K164" s="33">
        <f>K165+K172+K178+K192+K194+K196+K198+K200+K202</f>
        <v>0</v>
      </c>
      <c r="L164" s="51" t="s">
        <v>392</v>
      </c>
      <c r="M164" s="33">
        <f>M165+M172+M178+M192+M194+M196+M198+M200+M202</f>
        <v>0.59032</v>
      </c>
      <c r="N164" s="58" t="s">
        <v>392</v>
      </c>
    </row>
    <row r="165" spans="1:47" ht="15" customHeight="1">
      <c r="A165" s="61" t="s">
        <v>392</v>
      </c>
      <c r="B165" s="36" t="s">
        <v>294</v>
      </c>
      <c r="C165" s="36" t="s">
        <v>516</v>
      </c>
      <c r="D165" s="68" t="s">
        <v>348</v>
      </c>
      <c r="E165" s="68"/>
      <c r="F165" s="1" t="s">
        <v>525</v>
      </c>
      <c r="G165" s="1" t="s">
        <v>525</v>
      </c>
      <c r="H165" s="1" t="s">
        <v>525</v>
      </c>
      <c r="I165" s="33">
        <f>SUM(I166:I171)</f>
        <v>0</v>
      </c>
      <c r="J165" s="33">
        <f>SUM(J166:J171)</f>
        <v>0</v>
      </c>
      <c r="K165" s="33">
        <f>SUM(K166:K171)</f>
        <v>0</v>
      </c>
      <c r="L165" s="51" t="s">
        <v>392</v>
      </c>
      <c r="M165" s="33">
        <f>SUM(M166:M171)</f>
        <v>0.019579999999999997</v>
      </c>
      <c r="N165" s="58" t="s">
        <v>392</v>
      </c>
      <c r="AI165" s="51" t="s">
        <v>294</v>
      </c>
      <c r="AS165" s="33">
        <f>SUM(AJ166:AJ171)</f>
        <v>0</v>
      </c>
      <c r="AT165" s="33">
        <f>SUM(AK166:AK171)</f>
        <v>0</v>
      </c>
      <c r="AU165" s="33">
        <f>SUM(AL166:AL171)</f>
        <v>0</v>
      </c>
    </row>
    <row r="166" spans="1:64" ht="15" customHeight="1">
      <c r="A166" s="26" t="s">
        <v>163</v>
      </c>
      <c r="B166" s="21" t="s">
        <v>294</v>
      </c>
      <c r="C166" s="21" t="s">
        <v>127</v>
      </c>
      <c r="D166" s="64" t="s">
        <v>281</v>
      </c>
      <c r="E166" s="64"/>
      <c r="F166" s="21" t="s">
        <v>471</v>
      </c>
      <c r="G166" s="19">
        <v>44</v>
      </c>
      <c r="H166" s="19">
        <v>0</v>
      </c>
      <c r="I166" s="19">
        <f aca="true" t="shared" si="196" ref="I166:I171">G166*AO166</f>
        <v>0</v>
      </c>
      <c r="J166" s="19">
        <f aca="true" t="shared" si="197" ref="J166:J171">G166*AP166</f>
        <v>0</v>
      </c>
      <c r="K166" s="19">
        <f aca="true" t="shared" si="198" ref="K166:K171">G166*H166</f>
        <v>0</v>
      </c>
      <c r="L166" s="19">
        <v>8E-05</v>
      </c>
      <c r="M166" s="19">
        <f aca="true" t="shared" si="199" ref="M166:M171">G166*L166</f>
        <v>0.00352</v>
      </c>
      <c r="N166" s="41" t="s">
        <v>476</v>
      </c>
      <c r="Z166" s="19">
        <f aca="true" t="shared" si="200" ref="Z166:Z171">IF(AQ166="5",BJ166,0)</f>
        <v>0</v>
      </c>
      <c r="AB166" s="19">
        <f aca="true" t="shared" si="201" ref="AB166:AB171">IF(AQ166="1",BH166,0)</f>
        <v>0</v>
      </c>
      <c r="AC166" s="19">
        <f aca="true" t="shared" si="202" ref="AC166:AC171">IF(AQ166="1",BI166,0)</f>
        <v>0</v>
      </c>
      <c r="AD166" s="19">
        <f aca="true" t="shared" si="203" ref="AD166:AD171">IF(AQ166="7",BH166,0)</f>
        <v>0</v>
      </c>
      <c r="AE166" s="19">
        <f aca="true" t="shared" si="204" ref="AE166:AE171">IF(AQ166="7",BI166,0)</f>
        <v>0</v>
      </c>
      <c r="AF166" s="19">
        <f aca="true" t="shared" si="205" ref="AF166:AF171">IF(AQ166="2",BH166,0)</f>
        <v>0</v>
      </c>
      <c r="AG166" s="19">
        <f aca="true" t="shared" si="206" ref="AG166:AG171">IF(AQ166="2",BI166,0)</f>
        <v>0</v>
      </c>
      <c r="AH166" s="19">
        <f aca="true" t="shared" si="207" ref="AH166:AH171">IF(AQ166="0",BJ166,0)</f>
        <v>0</v>
      </c>
      <c r="AI166" s="51" t="s">
        <v>294</v>
      </c>
      <c r="AJ166" s="19">
        <f aca="true" t="shared" si="208" ref="AJ166:AJ171">IF(AN166=0,K166,0)</f>
        <v>0</v>
      </c>
      <c r="AK166" s="19">
        <f aca="true" t="shared" si="209" ref="AK166:AK171">IF(AN166=15,K166,0)</f>
        <v>0</v>
      </c>
      <c r="AL166" s="19">
        <f aca="true" t="shared" si="210" ref="AL166:AL171">IF(AN166=21,K166,0)</f>
        <v>0</v>
      </c>
      <c r="AN166" s="19">
        <v>21</v>
      </c>
      <c r="AO166" s="19">
        <f>H166*0.443805309734513</f>
        <v>0</v>
      </c>
      <c r="AP166" s="19">
        <f>H166*(1-0.443805309734513)</f>
        <v>0</v>
      </c>
      <c r="AQ166" s="3" t="s">
        <v>575</v>
      </c>
      <c r="AV166" s="19">
        <f aca="true" t="shared" si="211" ref="AV166:AV171">AW166+AX166</f>
        <v>0</v>
      </c>
      <c r="AW166" s="19">
        <f aca="true" t="shared" si="212" ref="AW166:AW171">G166*AO166</f>
        <v>0</v>
      </c>
      <c r="AX166" s="19">
        <f aca="true" t="shared" si="213" ref="AX166:AX171">G166*AP166</f>
        <v>0</v>
      </c>
      <c r="AY166" s="3" t="s">
        <v>356</v>
      </c>
      <c r="AZ166" s="3" t="s">
        <v>319</v>
      </c>
      <c r="BA166" s="51" t="s">
        <v>432</v>
      </c>
      <c r="BC166" s="19">
        <f aca="true" t="shared" si="214" ref="BC166:BC171">AW166+AX166</f>
        <v>0</v>
      </c>
      <c r="BD166" s="19">
        <f aca="true" t="shared" si="215" ref="BD166:BD171">H166/(100-BE166)*100</f>
        <v>0</v>
      </c>
      <c r="BE166" s="19">
        <v>0</v>
      </c>
      <c r="BF166" s="19">
        <f aca="true" t="shared" si="216" ref="BF166:BF171">M166</f>
        <v>0.00352</v>
      </c>
      <c r="BH166" s="19">
        <f aca="true" t="shared" si="217" ref="BH166:BH171">G166*AO166</f>
        <v>0</v>
      </c>
      <c r="BI166" s="19">
        <f aca="true" t="shared" si="218" ref="BI166:BI171">G166*AP166</f>
        <v>0</v>
      </c>
      <c r="BJ166" s="19">
        <f aca="true" t="shared" si="219" ref="BJ166:BJ171">G166*H166</f>
        <v>0</v>
      </c>
      <c r="BK166" s="19"/>
      <c r="BL166" s="19">
        <v>722</v>
      </c>
    </row>
    <row r="167" spans="1:64" ht="15" customHeight="1">
      <c r="A167" s="26" t="s">
        <v>148</v>
      </c>
      <c r="B167" s="21" t="s">
        <v>294</v>
      </c>
      <c r="C167" s="21" t="s">
        <v>330</v>
      </c>
      <c r="D167" s="64" t="s">
        <v>502</v>
      </c>
      <c r="E167" s="64"/>
      <c r="F167" s="21" t="s">
        <v>471</v>
      </c>
      <c r="G167" s="19">
        <v>42</v>
      </c>
      <c r="H167" s="19">
        <v>0</v>
      </c>
      <c r="I167" s="19">
        <f t="shared" si="196"/>
        <v>0</v>
      </c>
      <c r="J167" s="19">
        <f t="shared" si="197"/>
        <v>0</v>
      </c>
      <c r="K167" s="19">
        <f t="shared" si="198"/>
        <v>0</v>
      </c>
      <c r="L167" s="19">
        <v>7E-05</v>
      </c>
      <c r="M167" s="19">
        <f t="shared" si="199"/>
        <v>0.00294</v>
      </c>
      <c r="N167" s="41" t="s">
        <v>476</v>
      </c>
      <c r="Z167" s="19">
        <f t="shared" si="200"/>
        <v>0</v>
      </c>
      <c r="AB167" s="19">
        <f t="shared" si="201"/>
        <v>0</v>
      </c>
      <c r="AC167" s="19">
        <f t="shared" si="202"/>
        <v>0</v>
      </c>
      <c r="AD167" s="19">
        <f t="shared" si="203"/>
        <v>0</v>
      </c>
      <c r="AE167" s="19">
        <f t="shared" si="204"/>
        <v>0</v>
      </c>
      <c r="AF167" s="19">
        <f t="shared" si="205"/>
        <v>0</v>
      </c>
      <c r="AG167" s="19">
        <f t="shared" si="206"/>
        <v>0</v>
      </c>
      <c r="AH167" s="19">
        <f t="shared" si="207"/>
        <v>0</v>
      </c>
      <c r="AI167" s="51" t="s">
        <v>294</v>
      </c>
      <c r="AJ167" s="19">
        <f t="shared" si="208"/>
        <v>0</v>
      </c>
      <c r="AK167" s="19">
        <f t="shared" si="209"/>
        <v>0</v>
      </c>
      <c r="AL167" s="19">
        <f t="shared" si="210"/>
        <v>0</v>
      </c>
      <c r="AN167" s="19">
        <v>21</v>
      </c>
      <c r="AO167" s="19">
        <f>H167*0.463798449612403</f>
        <v>0</v>
      </c>
      <c r="AP167" s="19">
        <f>H167*(1-0.463798449612403)</f>
        <v>0</v>
      </c>
      <c r="AQ167" s="3" t="s">
        <v>575</v>
      </c>
      <c r="AV167" s="19">
        <f t="shared" si="211"/>
        <v>0</v>
      </c>
      <c r="AW167" s="19">
        <f t="shared" si="212"/>
        <v>0</v>
      </c>
      <c r="AX167" s="19">
        <f t="shared" si="213"/>
        <v>0</v>
      </c>
      <c r="AY167" s="3" t="s">
        <v>356</v>
      </c>
      <c r="AZ167" s="3" t="s">
        <v>319</v>
      </c>
      <c r="BA167" s="51" t="s">
        <v>432</v>
      </c>
      <c r="BC167" s="19">
        <f t="shared" si="214"/>
        <v>0</v>
      </c>
      <c r="BD167" s="19">
        <f t="shared" si="215"/>
        <v>0</v>
      </c>
      <c r="BE167" s="19">
        <v>0</v>
      </c>
      <c r="BF167" s="19">
        <f t="shared" si="216"/>
        <v>0.00294</v>
      </c>
      <c r="BH167" s="19">
        <f t="shared" si="217"/>
        <v>0</v>
      </c>
      <c r="BI167" s="19">
        <f t="shared" si="218"/>
        <v>0</v>
      </c>
      <c r="BJ167" s="19">
        <f t="shared" si="219"/>
        <v>0</v>
      </c>
      <c r="BK167" s="19"/>
      <c r="BL167" s="19">
        <v>722</v>
      </c>
    </row>
    <row r="168" spans="1:64" ht="15" customHeight="1">
      <c r="A168" s="26" t="s">
        <v>587</v>
      </c>
      <c r="B168" s="21" t="s">
        <v>294</v>
      </c>
      <c r="C168" s="21" t="s">
        <v>5</v>
      </c>
      <c r="D168" s="64" t="s">
        <v>618</v>
      </c>
      <c r="E168" s="64"/>
      <c r="F168" s="21" t="s">
        <v>471</v>
      </c>
      <c r="G168" s="19">
        <v>66</v>
      </c>
      <c r="H168" s="19">
        <v>0</v>
      </c>
      <c r="I168" s="19">
        <f t="shared" si="196"/>
        <v>0</v>
      </c>
      <c r="J168" s="19">
        <f t="shared" si="197"/>
        <v>0</v>
      </c>
      <c r="K168" s="19">
        <f t="shared" si="198"/>
        <v>0</v>
      </c>
      <c r="L168" s="19">
        <v>0.00014</v>
      </c>
      <c r="M168" s="19">
        <f t="shared" si="199"/>
        <v>0.00924</v>
      </c>
      <c r="N168" s="41" t="s">
        <v>476</v>
      </c>
      <c r="Z168" s="19">
        <f t="shared" si="200"/>
        <v>0</v>
      </c>
      <c r="AB168" s="19">
        <f t="shared" si="201"/>
        <v>0</v>
      </c>
      <c r="AC168" s="19">
        <f t="shared" si="202"/>
        <v>0</v>
      </c>
      <c r="AD168" s="19">
        <f t="shared" si="203"/>
        <v>0</v>
      </c>
      <c r="AE168" s="19">
        <f t="shared" si="204"/>
        <v>0</v>
      </c>
      <c r="AF168" s="19">
        <f t="shared" si="205"/>
        <v>0</v>
      </c>
      <c r="AG168" s="19">
        <f t="shared" si="206"/>
        <v>0</v>
      </c>
      <c r="AH168" s="19">
        <f t="shared" si="207"/>
        <v>0</v>
      </c>
      <c r="AI168" s="51" t="s">
        <v>294</v>
      </c>
      <c r="AJ168" s="19">
        <f t="shared" si="208"/>
        <v>0</v>
      </c>
      <c r="AK168" s="19">
        <f t="shared" si="209"/>
        <v>0</v>
      </c>
      <c r="AL168" s="19">
        <f t="shared" si="210"/>
        <v>0</v>
      </c>
      <c r="AN168" s="19">
        <v>21</v>
      </c>
      <c r="AO168" s="19">
        <f>H168*0.449700996677741</f>
        <v>0</v>
      </c>
      <c r="AP168" s="19">
        <f>H168*(1-0.449700996677741)</f>
        <v>0</v>
      </c>
      <c r="AQ168" s="3" t="s">
        <v>575</v>
      </c>
      <c r="AV168" s="19">
        <f t="shared" si="211"/>
        <v>0</v>
      </c>
      <c r="AW168" s="19">
        <f t="shared" si="212"/>
        <v>0</v>
      </c>
      <c r="AX168" s="19">
        <f t="shared" si="213"/>
        <v>0</v>
      </c>
      <c r="AY168" s="3" t="s">
        <v>356</v>
      </c>
      <c r="AZ168" s="3" t="s">
        <v>319</v>
      </c>
      <c r="BA168" s="51" t="s">
        <v>432</v>
      </c>
      <c r="BC168" s="19">
        <f t="shared" si="214"/>
        <v>0</v>
      </c>
      <c r="BD168" s="19">
        <f t="shared" si="215"/>
        <v>0</v>
      </c>
      <c r="BE168" s="19">
        <v>0</v>
      </c>
      <c r="BF168" s="19">
        <f t="shared" si="216"/>
        <v>0.00924</v>
      </c>
      <c r="BH168" s="19">
        <f t="shared" si="217"/>
        <v>0</v>
      </c>
      <c r="BI168" s="19">
        <f t="shared" si="218"/>
        <v>0</v>
      </c>
      <c r="BJ168" s="19">
        <f t="shared" si="219"/>
        <v>0</v>
      </c>
      <c r="BK168" s="19"/>
      <c r="BL168" s="19">
        <v>722</v>
      </c>
    </row>
    <row r="169" spans="1:64" ht="15" customHeight="1">
      <c r="A169" s="26" t="s">
        <v>209</v>
      </c>
      <c r="B169" s="21" t="s">
        <v>294</v>
      </c>
      <c r="C169" s="21" t="s">
        <v>36</v>
      </c>
      <c r="D169" s="64" t="s">
        <v>258</v>
      </c>
      <c r="E169" s="64"/>
      <c r="F169" s="21" t="s">
        <v>471</v>
      </c>
      <c r="G169" s="19">
        <v>5</v>
      </c>
      <c r="H169" s="19">
        <v>0</v>
      </c>
      <c r="I169" s="19">
        <f t="shared" si="196"/>
        <v>0</v>
      </c>
      <c r="J169" s="19">
        <f t="shared" si="197"/>
        <v>0</v>
      </c>
      <c r="K169" s="19">
        <f t="shared" si="198"/>
        <v>0</v>
      </c>
      <c r="L169" s="19">
        <v>0.00016</v>
      </c>
      <c r="M169" s="19">
        <f t="shared" si="199"/>
        <v>0.0008</v>
      </c>
      <c r="N169" s="41" t="s">
        <v>476</v>
      </c>
      <c r="Z169" s="19">
        <f t="shared" si="200"/>
        <v>0</v>
      </c>
      <c r="AB169" s="19">
        <f t="shared" si="201"/>
        <v>0</v>
      </c>
      <c r="AC169" s="19">
        <f t="shared" si="202"/>
        <v>0</v>
      </c>
      <c r="AD169" s="19">
        <f t="shared" si="203"/>
        <v>0</v>
      </c>
      <c r="AE169" s="19">
        <f t="shared" si="204"/>
        <v>0</v>
      </c>
      <c r="AF169" s="19">
        <f t="shared" si="205"/>
        <v>0</v>
      </c>
      <c r="AG169" s="19">
        <f t="shared" si="206"/>
        <v>0</v>
      </c>
      <c r="AH169" s="19">
        <f t="shared" si="207"/>
        <v>0</v>
      </c>
      <c r="AI169" s="51" t="s">
        <v>294</v>
      </c>
      <c r="AJ169" s="19">
        <f t="shared" si="208"/>
        <v>0</v>
      </c>
      <c r="AK169" s="19">
        <f t="shared" si="209"/>
        <v>0</v>
      </c>
      <c r="AL169" s="19">
        <f t="shared" si="210"/>
        <v>0</v>
      </c>
      <c r="AN169" s="19">
        <v>21</v>
      </c>
      <c r="AO169" s="19">
        <f>H169*0.470798722044729</f>
        <v>0</v>
      </c>
      <c r="AP169" s="19">
        <f>H169*(1-0.470798722044729)</f>
        <v>0</v>
      </c>
      <c r="AQ169" s="3" t="s">
        <v>575</v>
      </c>
      <c r="AV169" s="19">
        <f t="shared" si="211"/>
        <v>0</v>
      </c>
      <c r="AW169" s="19">
        <f t="shared" si="212"/>
        <v>0</v>
      </c>
      <c r="AX169" s="19">
        <f t="shared" si="213"/>
        <v>0</v>
      </c>
      <c r="AY169" s="3" t="s">
        <v>356</v>
      </c>
      <c r="AZ169" s="3" t="s">
        <v>319</v>
      </c>
      <c r="BA169" s="51" t="s">
        <v>432</v>
      </c>
      <c r="BC169" s="19">
        <f t="shared" si="214"/>
        <v>0</v>
      </c>
      <c r="BD169" s="19">
        <f t="shared" si="215"/>
        <v>0</v>
      </c>
      <c r="BE169" s="19">
        <v>0</v>
      </c>
      <c r="BF169" s="19">
        <f t="shared" si="216"/>
        <v>0.0008</v>
      </c>
      <c r="BH169" s="19">
        <f t="shared" si="217"/>
        <v>0</v>
      </c>
      <c r="BI169" s="19">
        <f t="shared" si="218"/>
        <v>0</v>
      </c>
      <c r="BJ169" s="19">
        <f t="shared" si="219"/>
        <v>0</v>
      </c>
      <c r="BK169" s="19"/>
      <c r="BL169" s="19">
        <v>722</v>
      </c>
    </row>
    <row r="170" spans="1:64" ht="15" customHeight="1">
      <c r="A170" s="26" t="s">
        <v>153</v>
      </c>
      <c r="B170" s="21" t="s">
        <v>294</v>
      </c>
      <c r="C170" s="21" t="s">
        <v>194</v>
      </c>
      <c r="D170" s="64" t="s">
        <v>479</v>
      </c>
      <c r="E170" s="64"/>
      <c r="F170" s="21" t="s">
        <v>471</v>
      </c>
      <c r="G170" s="19">
        <v>10</v>
      </c>
      <c r="H170" s="19">
        <v>0</v>
      </c>
      <c r="I170" s="19">
        <f t="shared" si="196"/>
        <v>0</v>
      </c>
      <c r="J170" s="19">
        <f t="shared" si="197"/>
        <v>0</v>
      </c>
      <c r="K170" s="19">
        <f t="shared" si="198"/>
        <v>0</v>
      </c>
      <c r="L170" s="19">
        <v>0.0002</v>
      </c>
      <c r="M170" s="19">
        <f t="shared" si="199"/>
        <v>0.002</v>
      </c>
      <c r="N170" s="41" t="s">
        <v>476</v>
      </c>
      <c r="Z170" s="19">
        <f t="shared" si="200"/>
        <v>0</v>
      </c>
      <c r="AB170" s="19">
        <f t="shared" si="201"/>
        <v>0</v>
      </c>
      <c r="AC170" s="19">
        <f t="shared" si="202"/>
        <v>0</v>
      </c>
      <c r="AD170" s="19">
        <f t="shared" si="203"/>
        <v>0</v>
      </c>
      <c r="AE170" s="19">
        <f t="shared" si="204"/>
        <v>0</v>
      </c>
      <c r="AF170" s="19">
        <f t="shared" si="205"/>
        <v>0</v>
      </c>
      <c r="AG170" s="19">
        <f t="shared" si="206"/>
        <v>0</v>
      </c>
      <c r="AH170" s="19">
        <f t="shared" si="207"/>
        <v>0</v>
      </c>
      <c r="AI170" s="51" t="s">
        <v>294</v>
      </c>
      <c r="AJ170" s="19">
        <f t="shared" si="208"/>
        <v>0</v>
      </c>
      <c r="AK170" s="19">
        <f t="shared" si="209"/>
        <v>0</v>
      </c>
      <c r="AL170" s="19">
        <f t="shared" si="210"/>
        <v>0</v>
      </c>
      <c r="AN170" s="19">
        <v>21</v>
      </c>
      <c r="AO170" s="19">
        <f>H170*0.582731481481481</f>
        <v>0</v>
      </c>
      <c r="AP170" s="19">
        <f>H170*(1-0.582731481481481)</f>
        <v>0</v>
      </c>
      <c r="AQ170" s="3" t="s">
        <v>575</v>
      </c>
      <c r="AV170" s="19">
        <f t="shared" si="211"/>
        <v>0</v>
      </c>
      <c r="AW170" s="19">
        <f t="shared" si="212"/>
        <v>0</v>
      </c>
      <c r="AX170" s="19">
        <f t="shared" si="213"/>
        <v>0</v>
      </c>
      <c r="AY170" s="3" t="s">
        <v>356</v>
      </c>
      <c r="AZ170" s="3" t="s">
        <v>319</v>
      </c>
      <c r="BA170" s="51" t="s">
        <v>432</v>
      </c>
      <c r="BC170" s="19">
        <f t="shared" si="214"/>
        <v>0</v>
      </c>
      <c r="BD170" s="19">
        <f t="shared" si="215"/>
        <v>0</v>
      </c>
      <c r="BE170" s="19">
        <v>0</v>
      </c>
      <c r="BF170" s="19">
        <f t="shared" si="216"/>
        <v>0.002</v>
      </c>
      <c r="BH170" s="19">
        <f t="shared" si="217"/>
        <v>0</v>
      </c>
      <c r="BI170" s="19">
        <f t="shared" si="218"/>
        <v>0</v>
      </c>
      <c r="BJ170" s="19">
        <f t="shared" si="219"/>
        <v>0</v>
      </c>
      <c r="BK170" s="19"/>
      <c r="BL170" s="19">
        <v>722</v>
      </c>
    </row>
    <row r="171" spans="1:64" ht="15" customHeight="1">
      <c r="A171" s="26" t="s">
        <v>433</v>
      </c>
      <c r="B171" s="21" t="s">
        <v>294</v>
      </c>
      <c r="C171" s="21" t="s">
        <v>341</v>
      </c>
      <c r="D171" s="64" t="s">
        <v>284</v>
      </c>
      <c r="E171" s="64"/>
      <c r="F171" s="21" t="s">
        <v>471</v>
      </c>
      <c r="G171" s="19">
        <v>4</v>
      </c>
      <c r="H171" s="19">
        <v>0</v>
      </c>
      <c r="I171" s="19">
        <f t="shared" si="196"/>
        <v>0</v>
      </c>
      <c r="J171" s="19">
        <f t="shared" si="197"/>
        <v>0</v>
      </c>
      <c r="K171" s="19">
        <f t="shared" si="198"/>
        <v>0</v>
      </c>
      <c r="L171" s="19">
        <v>0.00027</v>
      </c>
      <c r="M171" s="19">
        <f t="shared" si="199"/>
        <v>0.00108</v>
      </c>
      <c r="N171" s="41" t="s">
        <v>476</v>
      </c>
      <c r="Z171" s="19">
        <f t="shared" si="200"/>
        <v>0</v>
      </c>
      <c r="AB171" s="19">
        <f t="shared" si="201"/>
        <v>0</v>
      </c>
      <c r="AC171" s="19">
        <f t="shared" si="202"/>
        <v>0</v>
      </c>
      <c r="AD171" s="19">
        <f t="shared" si="203"/>
        <v>0</v>
      </c>
      <c r="AE171" s="19">
        <f t="shared" si="204"/>
        <v>0</v>
      </c>
      <c r="AF171" s="19">
        <f t="shared" si="205"/>
        <v>0</v>
      </c>
      <c r="AG171" s="19">
        <f t="shared" si="206"/>
        <v>0</v>
      </c>
      <c r="AH171" s="19">
        <f t="shared" si="207"/>
        <v>0</v>
      </c>
      <c r="AI171" s="51" t="s">
        <v>294</v>
      </c>
      <c r="AJ171" s="19">
        <f t="shared" si="208"/>
        <v>0</v>
      </c>
      <c r="AK171" s="19">
        <f t="shared" si="209"/>
        <v>0</v>
      </c>
      <c r="AL171" s="19">
        <f t="shared" si="210"/>
        <v>0</v>
      </c>
      <c r="AN171" s="19">
        <v>21</v>
      </c>
      <c r="AO171" s="19">
        <f>H171*0.687799934424275</f>
        <v>0</v>
      </c>
      <c r="AP171" s="19">
        <f>H171*(1-0.687799934424275)</f>
        <v>0</v>
      </c>
      <c r="AQ171" s="3" t="s">
        <v>575</v>
      </c>
      <c r="AV171" s="19">
        <f t="shared" si="211"/>
        <v>0</v>
      </c>
      <c r="AW171" s="19">
        <f t="shared" si="212"/>
        <v>0</v>
      </c>
      <c r="AX171" s="19">
        <f t="shared" si="213"/>
        <v>0</v>
      </c>
      <c r="AY171" s="3" t="s">
        <v>356</v>
      </c>
      <c r="AZ171" s="3" t="s">
        <v>319</v>
      </c>
      <c r="BA171" s="51" t="s">
        <v>432</v>
      </c>
      <c r="BC171" s="19">
        <f t="shared" si="214"/>
        <v>0</v>
      </c>
      <c r="BD171" s="19">
        <f t="shared" si="215"/>
        <v>0</v>
      </c>
      <c r="BE171" s="19">
        <v>0</v>
      </c>
      <c r="BF171" s="19">
        <f t="shared" si="216"/>
        <v>0.00108</v>
      </c>
      <c r="BH171" s="19">
        <f t="shared" si="217"/>
        <v>0</v>
      </c>
      <c r="BI171" s="19">
        <f t="shared" si="218"/>
        <v>0</v>
      </c>
      <c r="BJ171" s="19">
        <f t="shared" si="219"/>
        <v>0</v>
      </c>
      <c r="BK171" s="19"/>
      <c r="BL171" s="19">
        <v>722</v>
      </c>
    </row>
    <row r="172" spans="1:47" ht="15" customHeight="1">
      <c r="A172" s="61" t="s">
        <v>392</v>
      </c>
      <c r="B172" s="36" t="s">
        <v>294</v>
      </c>
      <c r="C172" s="36" t="s">
        <v>591</v>
      </c>
      <c r="D172" s="68" t="s">
        <v>478</v>
      </c>
      <c r="E172" s="68"/>
      <c r="F172" s="1" t="s">
        <v>525</v>
      </c>
      <c r="G172" s="1" t="s">
        <v>525</v>
      </c>
      <c r="H172" s="1" t="s">
        <v>525</v>
      </c>
      <c r="I172" s="33">
        <f>SUM(I173:I177)</f>
        <v>0</v>
      </c>
      <c r="J172" s="33">
        <f>SUM(J173:J177)</f>
        <v>0</v>
      </c>
      <c r="K172" s="33">
        <f>SUM(K173:K177)</f>
        <v>0</v>
      </c>
      <c r="L172" s="51" t="s">
        <v>392</v>
      </c>
      <c r="M172" s="33">
        <f>SUM(M173:M177)</f>
        <v>0.03716</v>
      </c>
      <c r="N172" s="58" t="s">
        <v>392</v>
      </c>
      <c r="AI172" s="51" t="s">
        <v>294</v>
      </c>
      <c r="AS172" s="33">
        <f>SUM(AJ173:AJ177)</f>
        <v>0</v>
      </c>
      <c r="AT172" s="33">
        <f>SUM(AK173:AK177)</f>
        <v>0</v>
      </c>
      <c r="AU172" s="33">
        <f>SUM(AL173:AL177)</f>
        <v>0</v>
      </c>
    </row>
    <row r="173" spans="1:64" ht="15" customHeight="1">
      <c r="A173" s="26" t="s">
        <v>79</v>
      </c>
      <c r="B173" s="21" t="s">
        <v>294</v>
      </c>
      <c r="C173" s="21" t="s">
        <v>555</v>
      </c>
      <c r="D173" s="64" t="s">
        <v>337</v>
      </c>
      <c r="E173" s="64"/>
      <c r="F173" s="21" t="s">
        <v>471</v>
      </c>
      <c r="G173" s="19">
        <v>2</v>
      </c>
      <c r="H173" s="19">
        <v>0</v>
      </c>
      <c r="I173" s="19">
        <f>G173*AO173</f>
        <v>0</v>
      </c>
      <c r="J173" s="19">
        <f>G173*AP173</f>
        <v>0</v>
      </c>
      <c r="K173" s="19">
        <f>G173*H173</f>
        <v>0</v>
      </c>
      <c r="L173" s="19">
        <v>0.00898</v>
      </c>
      <c r="M173" s="19">
        <f>G173*L173</f>
        <v>0.01796</v>
      </c>
      <c r="N173" s="41" t="s">
        <v>476</v>
      </c>
      <c r="Z173" s="19">
        <f>IF(AQ173="5",BJ173,0)</f>
        <v>0</v>
      </c>
      <c r="AB173" s="19">
        <f>IF(AQ173="1",BH173,0)</f>
        <v>0</v>
      </c>
      <c r="AC173" s="19">
        <f>IF(AQ173="1",BI173,0)</f>
        <v>0</v>
      </c>
      <c r="AD173" s="19">
        <f>IF(AQ173="7",BH173,0)</f>
        <v>0</v>
      </c>
      <c r="AE173" s="19">
        <f>IF(AQ173="7",BI173,0)</f>
        <v>0</v>
      </c>
      <c r="AF173" s="19">
        <f>IF(AQ173="2",BH173,0)</f>
        <v>0</v>
      </c>
      <c r="AG173" s="19">
        <f>IF(AQ173="2",BI173,0)</f>
        <v>0</v>
      </c>
      <c r="AH173" s="19">
        <f>IF(AQ173="0",BJ173,0)</f>
        <v>0</v>
      </c>
      <c r="AI173" s="51" t="s">
        <v>294</v>
      </c>
      <c r="AJ173" s="19">
        <f>IF(AN173=0,K173,0)</f>
        <v>0</v>
      </c>
      <c r="AK173" s="19">
        <f>IF(AN173=15,K173,0)</f>
        <v>0</v>
      </c>
      <c r="AL173" s="19">
        <f>IF(AN173=21,K173,0)</f>
        <v>0</v>
      </c>
      <c r="AN173" s="19">
        <v>21</v>
      </c>
      <c r="AO173" s="19">
        <f>H173*0.627531055900621</f>
        <v>0</v>
      </c>
      <c r="AP173" s="19">
        <f>H173*(1-0.627531055900621)</f>
        <v>0</v>
      </c>
      <c r="AQ173" s="3" t="s">
        <v>575</v>
      </c>
      <c r="AV173" s="19">
        <f>AW173+AX173</f>
        <v>0</v>
      </c>
      <c r="AW173" s="19">
        <f>G173*AO173</f>
        <v>0</v>
      </c>
      <c r="AX173" s="19">
        <f>G173*AP173</f>
        <v>0</v>
      </c>
      <c r="AY173" s="3" t="s">
        <v>55</v>
      </c>
      <c r="AZ173" s="3" t="s">
        <v>78</v>
      </c>
      <c r="BA173" s="51" t="s">
        <v>432</v>
      </c>
      <c r="BC173" s="19">
        <f>AW173+AX173</f>
        <v>0</v>
      </c>
      <c r="BD173" s="19">
        <f>H173/(100-BE173)*100</f>
        <v>0</v>
      </c>
      <c r="BE173" s="19">
        <v>0</v>
      </c>
      <c r="BF173" s="19">
        <f>M173</f>
        <v>0.01796</v>
      </c>
      <c r="BH173" s="19">
        <f>G173*AO173</f>
        <v>0</v>
      </c>
      <c r="BI173" s="19">
        <f>G173*AP173</f>
        <v>0</v>
      </c>
      <c r="BJ173" s="19">
        <f>G173*H173</f>
        <v>0</v>
      </c>
      <c r="BK173" s="19"/>
      <c r="BL173" s="19">
        <v>733</v>
      </c>
    </row>
    <row r="174" spans="1:64" ht="15" customHeight="1">
      <c r="A174" s="26" t="s">
        <v>526</v>
      </c>
      <c r="B174" s="21" t="s">
        <v>294</v>
      </c>
      <c r="C174" s="21" t="s">
        <v>124</v>
      </c>
      <c r="D174" s="64" t="s">
        <v>434</v>
      </c>
      <c r="E174" s="64"/>
      <c r="F174" s="21" t="s">
        <v>139</v>
      </c>
      <c r="G174" s="19">
        <v>22</v>
      </c>
      <c r="H174" s="19">
        <v>0</v>
      </c>
      <c r="I174" s="19">
        <f>G174*AO174</f>
        <v>0</v>
      </c>
      <c r="J174" s="19">
        <f>G174*AP174</f>
        <v>0</v>
      </c>
      <c r="K174" s="19">
        <f>G174*H174</f>
        <v>0</v>
      </c>
      <c r="L174" s="19">
        <v>0.0003</v>
      </c>
      <c r="M174" s="19">
        <f>G174*L174</f>
        <v>0.006599999999999999</v>
      </c>
      <c r="N174" s="41" t="s">
        <v>476</v>
      </c>
      <c r="Z174" s="19">
        <f>IF(AQ174="5",BJ174,0)</f>
        <v>0</v>
      </c>
      <c r="AB174" s="19">
        <f>IF(AQ174="1",BH174,0)</f>
        <v>0</v>
      </c>
      <c r="AC174" s="19">
        <f>IF(AQ174="1",BI174,0)</f>
        <v>0</v>
      </c>
      <c r="AD174" s="19">
        <f>IF(AQ174="7",BH174,0)</f>
        <v>0</v>
      </c>
      <c r="AE174" s="19">
        <f>IF(AQ174="7",BI174,0)</f>
        <v>0</v>
      </c>
      <c r="AF174" s="19">
        <f>IF(AQ174="2",BH174,0)</f>
        <v>0</v>
      </c>
      <c r="AG174" s="19">
        <f>IF(AQ174="2",BI174,0)</f>
        <v>0</v>
      </c>
      <c r="AH174" s="19">
        <f>IF(AQ174="0",BJ174,0)</f>
        <v>0</v>
      </c>
      <c r="AI174" s="51" t="s">
        <v>294</v>
      </c>
      <c r="AJ174" s="19">
        <f>IF(AN174=0,K174,0)</f>
        <v>0</v>
      </c>
      <c r="AK174" s="19">
        <f>IF(AN174=15,K174,0)</f>
        <v>0</v>
      </c>
      <c r="AL174" s="19">
        <f>IF(AN174=21,K174,0)</f>
        <v>0</v>
      </c>
      <c r="AN174" s="19">
        <v>21</v>
      </c>
      <c r="AO174" s="19">
        <f>H174*0.480614698809314</f>
        <v>0</v>
      </c>
      <c r="AP174" s="19">
        <f>H174*(1-0.480614698809314)</f>
        <v>0</v>
      </c>
      <c r="AQ174" s="3" t="s">
        <v>575</v>
      </c>
      <c r="AV174" s="19">
        <f>AW174+AX174</f>
        <v>0</v>
      </c>
      <c r="AW174" s="19">
        <f>G174*AO174</f>
        <v>0</v>
      </c>
      <c r="AX174" s="19">
        <f>G174*AP174</f>
        <v>0</v>
      </c>
      <c r="AY174" s="3" t="s">
        <v>55</v>
      </c>
      <c r="AZ174" s="3" t="s">
        <v>78</v>
      </c>
      <c r="BA174" s="51" t="s">
        <v>432</v>
      </c>
      <c r="BC174" s="19">
        <f>AW174+AX174</f>
        <v>0</v>
      </c>
      <c r="BD174" s="19">
        <f>H174/(100-BE174)*100</f>
        <v>0</v>
      </c>
      <c r="BE174" s="19">
        <v>0</v>
      </c>
      <c r="BF174" s="19">
        <f>M174</f>
        <v>0.006599999999999999</v>
      </c>
      <c r="BH174" s="19">
        <f>G174*AO174</f>
        <v>0</v>
      </c>
      <c r="BI174" s="19">
        <f>G174*AP174</f>
        <v>0</v>
      </c>
      <c r="BJ174" s="19">
        <f>G174*H174</f>
        <v>0</v>
      </c>
      <c r="BK174" s="19"/>
      <c r="BL174" s="19">
        <v>733</v>
      </c>
    </row>
    <row r="175" spans="1:64" ht="15" customHeight="1">
      <c r="A175" s="26" t="s">
        <v>135</v>
      </c>
      <c r="B175" s="21" t="s">
        <v>294</v>
      </c>
      <c r="C175" s="21" t="s">
        <v>524</v>
      </c>
      <c r="D175" s="64" t="s">
        <v>174</v>
      </c>
      <c r="E175" s="64"/>
      <c r="F175" s="21" t="s">
        <v>139</v>
      </c>
      <c r="G175" s="19">
        <v>14</v>
      </c>
      <c r="H175" s="19">
        <v>0</v>
      </c>
      <c r="I175" s="19">
        <f>G175*AO175</f>
        <v>0</v>
      </c>
      <c r="J175" s="19">
        <f>G175*AP175</f>
        <v>0</v>
      </c>
      <c r="K175" s="19">
        <f>G175*H175</f>
        <v>0</v>
      </c>
      <c r="L175" s="19">
        <v>0.00041</v>
      </c>
      <c r="M175" s="19">
        <f>G175*L175</f>
        <v>0.00574</v>
      </c>
      <c r="N175" s="41" t="s">
        <v>476</v>
      </c>
      <c r="Z175" s="19">
        <f>IF(AQ175="5",BJ175,0)</f>
        <v>0</v>
      </c>
      <c r="AB175" s="19">
        <f>IF(AQ175="1",BH175,0)</f>
        <v>0</v>
      </c>
      <c r="AC175" s="19">
        <f>IF(AQ175="1",BI175,0)</f>
        <v>0</v>
      </c>
      <c r="AD175" s="19">
        <f>IF(AQ175="7",BH175,0)</f>
        <v>0</v>
      </c>
      <c r="AE175" s="19">
        <f>IF(AQ175="7",BI175,0)</f>
        <v>0</v>
      </c>
      <c r="AF175" s="19">
        <f>IF(AQ175="2",BH175,0)</f>
        <v>0</v>
      </c>
      <c r="AG175" s="19">
        <f>IF(AQ175="2",BI175,0)</f>
        <v>0</v>
      </c>
      <c r="AH175" s="19">
        <f>IF(AQ175="0",BJ175,0)</f>
        <v>0</v>
      </c>
      <c r="AI175" s="51" t="s">
        <v>294</v>
      </c>
      <c r="AJ175" s="19">
        <f>IF(AN175=0,K175,0)</f>
        <v>0</v>
      </c>
      <c r="AK175" s="19">
        <f>IF(AN175=15,K175,0)</f>
        <v>0</v>
      </c>
      <c r="AL175" s="19">
        <f>IF(AN175=21,K175,0)</f>
        <v>0</v>
      </c>
      <c r="AN175" s="19">
        <v>21</v>
      </c>
      <c r="AO175" s="19">
        <f>H175*0.47991341991342</f>
        <v>0</v>
      </c>
      <c r="AP175" s="19">
        <f>H175*(1-0.47991341991342)</f>
        <v>0</v>
      </c>
      <c r="AQ175" s="3" t="s">
        <v>575</v>
      </c>
      <c r="AV175" s="19">
        <f>AW175+AX175</f>
        <v>0</v>
      </c>
      <c r="AW175" s="19">
        <f>G175*AO175</f>
        <v>0</v>
      </c>
      <c r="AX175" s="19">
        <f>G175*AP175</f>
        <v>0</v>
      </c>
      <c r="AY175" s="3" t="s">
        <v>55</v>
      </c>
      <c r="AZ175" s="3" t="s">
        <v>78</v>
      </c>
      <c r="BA175" s="51" t="s">
        <v>432</v>
      </c>
      <c r="BC175" s="19">
        <f>AW175+AX175</f>
        <v>0</v>
      </c>
      <c r="BD175" s="19">
        <f>H175/(100-BE175)*100</f>
        <v>0</v>
      </c>
      <c r="BE175" s="19">
        <v>0</v>
      </c>
      <c r="BF175" s="19">
        <f>M175</f>
        <v>0.00574</v>
      </c>
      <c r="BH175" s="19">
        <f>G175*AO175</f>
        <v>0</v>
      </c>
      <c r="BI175" s="19">
        <f>G175*AP175</f>
        <v>0</v>
      </c>
      <c r="BJ175" s="19">
        <f>G175*H175</f>
        <v>0</v>
      </c>
      <c r="BK175" s="19"/>
      <c r="BL175" s="19">
        <v>733</v>
      </c>
    </row>
    <row r="176" spans="1:64" ht="15" customHeight="1">
      <c r="A176" s="26" t="s">
        <v>84</v>
      </c>
      <c r="B176" s="21" t="s">
        <v>294</v>
      </c>
      <c r="C176" s="21" t="s">
        <v>553</v>
      </c>
      <c r="D176" s="64" t="s">
        <v>249</v>
      </c>
      <c r="E176" s="64"/>
      <c r="F176" s="21" t="s">
        <v>139</v>
      </c>
      <c r="G176" s="19">
        <v>12</v>
      </c>
      <c r="H176" s="19">
        <v>0</v>
      </c>
      <c r="I176" s="19">
        <f>G176*AO176</f>
        <v>0</v>
      </c>
      <c r="J176" s="19">
        <f>G176*AP176</f>
        <v>0</v>
      </c>
      <c r="K176" s="19">
        <f>G176*H176</f>
        <v>0</v>
      </c>
      <c r="L176" s="19">
        <v>0.00048</v>
      </c>
      <c r="M176" s="19">
        <f>G176*L176</f>
        <v>0.00576</v>
      </c>
      <c r="N176" s="41" t="s">
        <v>476</v>
      </c>
      <c r="Z176" s="19">
        <f>IF(AQ176="5",BJ176,0)</f>
        <v>0</v>
      </c>
      <c r="AB176" s="19">
        <f>IF(AQ176="1",BH176,0)</f>
        <v>0</v>
      </c>
      <c r="AC176" s="19">
        <f>IF(AQ176="1",BI176,0)</f>
        <v>0</v>
      </c>
      <c r="AD176" s="19">
        <f>IF(AQ176="7",BH176,0)</f>
        <v>0</v>
      </c>
      <c r="AE176" s="19">
        <f>IF(AQ176="7",BI176,0)</f>
        <v>0</v>
      </c>
      <c r="AF176" s="19">
        <f>IF(AQ176="2",BH176,0)</f>
        <v>0</v>
      </c>
      <c r="AG176" s="19">
        <f>IF(AQ176="2",BI176,0)</f>
        <v>0</v>
      </c>
      <c r="AH176" s="19">
        <f>IF(AQ176="0",BJ176,0)</f>
        <v>0</v>
      </c>
      <c r="AI176" s="51" t="s">
        <v>294</v>
      </c>
      <c r="AJ176" s="19">
        <f>IF(AN176=0,K176,0)</f>
        <v>0</v>
      </c>
      <c r="AK176" s="19">
        <f>IF(AN176=15,K176,0)</f>
        <v>0</v>
      </c>
      <c r="AL176" s="19">
        <f>IF(AN176=21,K176,0)</f>
        <v>0</v>
      </c>
      <c r="AN176" s="19">
        <v>21</v>
      </c>
      <c r="AO176" s="19">
        <f>H176*0.47992606284658</f>
        <v>0</v>
      </c>
      <c r="AP176" s="19">
        <f>H176*(1-0.47992606284658)</f>
        <v>0</v>
      </c>
      <c r="AQ176" s="3" t="s">
        <v>575</v>
      </c>
      <c r="AV176" s="19">
        <f>AW176+AX176</f>
        <v>0</v>
      </c>
      <c r="AW176" s="19">
        <f>G176*AO176</f>
        <v>0</v>
      </c>
      <c r="AX176" s="19">
        <f>G176*AP176</f>
        <v>0</v>
      </c>
      <c r="AY176" s="3" t="s">
        <v>55</v>
      </c>
      <c r="AZ176" s="3" t="s">
        <v>78</v>
      </c>
      <c r="BA176" s="51" t="s">
        <v>432</v>
      </c>
      <c r="BC176" s="19">
        <f>AW176+AX176</f>
        <v>0</v>
      </c>
      <c r="BD176" s="19">
        <f>H176/(100-BE176)*100</f>
        <v>0</v>
      </c>
      <c r="BE176" s="19">
        <v>0</v>
      </c>
      <c r="BF176" s="19">
        <f>M176</f>
        <v>0.00576</v>
      </c>
      <c r="BH176" s="19">
        <f>G176*AO176</f>
        <v>0</v>
      </c>
      <c r="BI176" s="19">
        <f>G176*AP176</f>
        <v>0</v>
      </c>
      <c r="BJ176" s="19">
        <f>G176*H176</f>
        <v>0</v>
      </c>
      <c r="BK176" s="19"/>
      <c r="BL176" s="19">
        <v>733</v>
      </c>
    </row>
    <row r="177" spans="1:64" ht="15" customHeight="1">
      <c r="A177" s="26" t="s">
        <v>162</v>
      </c>
      <c r="B177" s="21" t="s">
        <v>294</v>
      </c>
      <c r="C177" s="21" t="s">
        <v>421</v>
      </c>
      <c r="D177" s="64" t="s">
        <v>500</v>
      </c>
      <c r="E177" s="64"/>
      <c r="F177" s="21" t="s">
        <v>139</v>
      </c>
      <c r="G177" s="19">
        <v>2</v>
      </c>
      <c r="H177" s="19">
        <v>0</v>
      </c>
      <c r="I177" s="19">
        <f>G177*AO177</f>
        <v>0</v>
      </c>
      <c r="J177" s="19">
        <f>G177*AP177</f>
        <v>0</v>
      </c>
      <c r="K177" s="19">
        <f>G177*H177</f>
        <v>0</v>
      </c>
      <c r="L177" s="19">
        <v>0.00055</v>
      </c>
      <c r="M177" s="19">
        <f>G177*L177</f>
        <v>0.0011</v>
      </c>
      <c r="N177" s="41" t="s">
        <v>476</v>
      </c>
      <c r="Z177" s="19">
        <f>IF(AQ177="5",BJ177,0)</f>
        <v>0</v>
      </c>
      <c r="AB177" s="19">
        <f>IF(AQ177="1",BH177,0)</f>
        <v>0</v>
      </c>
      <c r="AC177" s="19">
        <f>IF(AQ177="1",BI177,0)</f>
        <v>0</v>
      </c>
      <c r="AD177" s="19">
        <f>IF(AQ177="7",BH177,0)</f>
        <v>0</v>
      </c>
      <c r="AE177" s="19">
        <f>IF(AQ177="7",BI177,0)</f>
        <v>0</v>
      </c>
      <c r="AF177" s="19">
        <f>IF(AQ177="2",BH177,0)</f>
        <v>0</v>
      </c>
      <c r="AG177" s="19">
        <f>IF(AQ177="2",BI177,0)</f>
        <v>0</v>
      </c>
      <c r="AH177" s="19">
        <f>IF(AQ177="0",BJ177,0)</f>
        <v>0</v>
      </c>
      <c r="AI177" s="51" t="s">
        <v>294</v>
      </c>
      <c r="AJ177" s="19">
        <f>IF(AN177=0,K177,0)</f>
        <v>0</v>
      </c>
      <c r="AK177" s="19">
        <f>IF(AN177=15,K177,0)</f>
        <v>0</v>
      </c>
      <c r="AL177" s="19">
        <f>IF(AN177=21,K177,0)</f>
        <v>0</v>
      </c>
      <c r="AN177" s="19">
        <v>21</v>
      </c>
      <c r="AO177" s="19">
        <f>H177*0.479952259604529</f>
        <v>0</v>
      </c>
      <c r="AP177" s="19">
        <f>H177*(1-0.479952259604529)</f>
        <v>0</v>
      </c>
      <c r="AQ177" s="3" t="s">
        <v>575</v>
      </c>
      <c r="AV177" s="19">
        <f>AW177+AX177</f>
        <v>0</v>
      </c>
      <c r="AW177" s="19">
        <f>G177*AO177</f>
        <v>0</v>
      </c>
      <c r="AX177" s="19">
        <f>G177*AP177</f>
        <v>0</v>
      </c>
      <c r="AY177" s="3" t="s">
        <v>55</v>
      </c>
      <c r="AZ177" s="3" t="s">
        <v>78</v>
      </c>
      <c r="BA177" s="51" t="s">
        <v>432</v>
      </c>
      <c r="BC177" s="19">
        <f>AW177+AX177</f>
        <v>0</v>
      </c>
      <c r="BD177" s="19">
        <f>H177/(100-BE177)*100</f>
        <v>0</v>
      </c>
      <c r="BE177" s="19">
        <v>0</v>
      </c>
      <c r="BF177" s="19">
        <f>M177</f>
        <v>0.0011</v>
      </c>
      <c r="BH177" s="19">
        <f>G177*AO177</f>
        <v>0</v>
      </c>
      <c r="BI177" s="19">
        <f>G177*AP177</f>
        <v>0</v>
      </c>
      <c r="BJ177" s="19">
        <f>G177*H177</f>
        <v>0</v>
      </c>
      <c r="BK177" s="19"/>
      <c r="BL177" s="19">
        <v>733</v>
      </c>
    </row>
    <row r="178" spans="1:47" ht="15" customHeight="1">
      <c r="A178" s="61" t="s">
        <v>392</v>
      </c>
      <c r="B178" s="36" t="s">
        <v>294</v>
      </c>
      <c r="C178" s="36" t="s">
        <v>484</v>
      </c>
      <c r="D178" s="68" t="s">
        <v>372</v>
      </c>
      <c r="E178" s="68"/>
      <c r="F178" s="1" t="s">
        <v>525</v>
      </c>
      <c r="G178" s="1" t="s">
        <v>525</v>
      </c>
      <c r="H178" s="1" t="s">
        <v>525</v>
      </c>
      <c r="I178" s="33">
        <f>SUM(I179:I191)</f>
        <v>0</v>
      </c>
      <c r="J178" s="33">
        <f>SUM(J179:J191)</f>
        <v>0</v>
      </c>
      <c r="K178" s="33">
        <f>SUM(K179:K191)</f>
        <v>0</v>
      </c>
      <c r="L178" s="51" t="s">
        <v>392</v>
      </c>
      <c r="M178" s="33">
        <f>SUM(M179:M191)</f>
        <v>0.27878</v>
      </c>
      <c r="N178" s="58" t="s">
        <v>392</v>
      </c>
      <c r="AI178" s="51" t="s">
        <v>294</v>
      </c>
      <c r="AS178" s="33">
        <f>SUM(AJ179:AJ191)</f>
        <v>0</v>
      </c>
      <c r="AT178" s="33">
        <f>SUM(AK179:AK191)</f>
        <v>0</v>
      </c>
      <c r="AU178" s="33">
        <f>SUM(AL179:AL191)</f>
        <v>0</v>
      </c>
    </row>
    <row r="179" spans="1:64" ht="15" customHeight="1">
      <c r="A179" s="26" t="s">
        <v>175</v>
      </c>
      <c r="B179" s="21" t="s">
        <v>294</v>
      </c>
      <c r="C179" s="21" t="s">
        <v>251</v>
      </c>
      <c r="D179" s="64" t="s">
        <v>607</v>
      </c>
      <c r="E179" s="64"/>
      <c r="F179" s="21" t="s">
        <v>139</v>
      </c>
      <c r="G179" s="19">
        <v>22</v>
      </c>
      <c r="H179" s="19">
        <v>0</v>
      </c>
      <c r="I179" s="19">
        <f aca="true" t="shared" si="220" ref="I179:I191">G179*AO179</f>
        <v>0</v>
      </c>
      <c r="J179" s="19">
        <f aca="true" t="shared" si="221" ref="J179:J191">G179*AP179</f>
        <v>0</v>
      </c>
      <c r="K179" s="19">
        <f aca="true" t="shared" si="222" ref="K179:K191">G179*H179</f>
        <v>0</v>
      </c>
      <c r="L179" s="19">
        <v>0.00038</v>
      </c>
      <c r="M179" s="19">
        <f aca="true" t="shared" si="223" ref="M179:M191">G179*L179</f>
        <v>0.008360000000000001</v>
      </c>
      <c r="N179" s="41" t="s">
        <v>476</v>
      </c>
      <c r="Z179" s="19">
        <f aca="true" t="shared" si="224" ref="Z179:Z191">IF(AQ179="5",BJ179,0)</f>
        <v>0</v>
      </c>
      <c r="AB179" s="19">
        <f aca="true" t="shared" si="225" ref="AB179:AB191">IF(AQ179="1",BH179,0)</f>
        <v>0</v>
      </c>
      <c r="AC179" s="19">
        <f aca="true" t="shared" si="226" ref="AC179:AC191">IF(AQ179="1",BI179,0)</f>
        <v>0</v>
      </c>
      <c r="AD179" s="19">
        <f aca="true" t="shared" si="227" ref="AD179:AD191">IF(AQ179="7",BH179,0)</f>
        <v>0</v>
      </c>
      <c r="AE179" s="19">
        <f aca="true" t="shared" si="228" ref="AE179:AE191">IF(AQ179="7",BI179,0)</f>
        <v>0</v>
      </c>
      <c r="AF179" s="19">
        <f aca="true" t="shared" si="229" ref="AF179:AF191">IF(AQ179="2",BH179,0)</f>
        <v>0</v>
      </c>
      <c r="AG179" s="19">
        <f aca="true" t="shared" si="230" ref="AG179:AG191">IF(AQ179="2",BI179,0)</f>
        <v>0</v>
      </c>
      <c r="AH179" s="19">
        <f aca="true" t="shared" si="231" ref="AH179:AH191">IF(AQ179="0",BJ179,0)</f>
        <v>0</v>
      </c>
      <c r="AI179" s="51" t="s">
        <v>294</v>
      </c>
      <c r="AJ179" s="19">
        <f aca="true" t="shared" si="232" ref="AJ179:AJ191">IF(AN179=0,K179,0)</f>
        <v>0</v>
      </c>
      <c r="AK179" s="19">
        <f aca="true" t="shared" si="233" ref="AK179:AK191">IF(AN179=15,K179,0)</f>
        <v>0</v>
      </c>
      <c r="AL179" s="19">
        <f aca="true" t="shared" si="234" ref="AL179:AL191">IF(AN179=21,K179,0)</f>
        <v>0</v>
      </c>
      <c r="AN179" s="19">
        <v>21</v>
      </c>
      <c r="AO179" s="19">
        <f>H179*0.77253360910031</f>
        <v>0</v>
      </c>
      <c r="AP179" s="19">
        <f>H179*(1-0.77253360910031)</f>
        <v>0</v>
      </c>
      <c r="AQ179" s="3" t="s">
        <v>575</v>
      </c>
      <c r="AV179" s="19">
        <f aca="true" t="shared" si="235" ref="AV179:AV191">AW179+AX179</f>
        <v>0</v>
      </c>
      <c r="AW179" s="19">
        <f aca="true" t="shared" si="236" ref="AW179:AW191">G179*AO179</f>
        <v>0</v>
      </c>
      <c r="AX179" s="19">
        <f aca="true" t="shared" si="237" ref="AX179:AX191">G179*AP179</f>
        <v>0</v>
      </c>
      <c r="AY179" s="3" t="s">
        <v>109</v>
      </c>
      <c r="AZ179" s="3" t="s">
        <v>78</v>
      </c>
      <c r="BA179" s="51" t="s">
        <v>432</v>
      </c>
      <c r="BC179" s="19">
        <f aca="true" t="shared" si="238" ref="BC179:BC191">AW179+AX179</f>
        <v>0</v>
      </c>
      <c r="BD179" s="19">
        <f aca="true" t="shared" si="239" ref="BD179:BD191">H179/(100-BE179)*100</f>
        <v>0</v>
      </c>
      <c r="BE179" s="19">
        <v>0</v>
      </c>
      <c r="BF179" s="19">
        <f aca="true" t="shared" si="240" ref="BF179:BF191">M179</f>
        <v>0.008360000000000001</v>
      </c>
      <c r="BH179" s="19">
        <f aca="true" t="shared" si="241" ref="BH179:BH191">G179*AO179</f>
        <v>0</v>
      </c>
      <c r="BI179" s="19">
        <f aca="true" t="shared" si="242" ref="BI179:BI191">G179*AP179</f>
        <v>0</v>
      </c>
      <c r="BJ179" s="19">
        <f aca="true" t="shared" si="243" ref="BJ179:BJ191">G179*H179</f>
        <v>0</v>
      </c>
      <c r="BK179" s="19"/>
      <c r="BL179" s="19">
        <v>734</v>
      </c>
    </row>
    <row r="180" spans="1:64" ht="15" customHeight="1">
      <c r="A180" s="26" t="s">
        <v>120</v>
      </c>
      <c r="B180" s="21" t="s">
        <v>294</v>
      </c>
      <c r="C180" s="21" t="s">
        <v>61</v>
      </c>
      <c r="D180" s="64" t="s">
        <v>441</v>
      </c>
      <c r="E180" s="64"/>
      <c r="F180" s="21" t="s">
        <v>139</v>
      </c>
      <c r="G180" s="19">
        <v>14</v>
      </c>
      <c r="H180" s="19">
        <v>0</v>
      </c>
      <c r="I180" s="19">
        <f t="shared" si="220"/>
        <v>0</v>
      </c>
      <c r="J180" s="19">
        <f t="shared" si="221"/>
        <v>0</v>
      </c>
      <c r="K180" s="19">
        <f t="shared" si="222"/>
        <v>0</v>
      </c>
      <c r="L180" s="19">
        <v>0.00061</v>
      </c>
      <c r="M180" s="19">
        <f t="shared" si="223"/>
        <v>0.008539999999999999</v>
      </c>
      <c r="N180" s="41" t="s">
        <v>476</v>
      </c>
      <c r="Z180" s="19">
        <f t="shared" si="224"/>
        <v>0</v>
      </c>
      <c r="AB180" s="19">
        <f t="shared" si="225"/>
        <v>0</v>
      </c>
      <c r="AC180" s="19">
        <f t="shared" si="226"/>
        <v>0</v>
      </c>
      <c r="AD180" s="19">
        <f t="shared" si="227"/>
        <v>0</v>
      </c>
      <c r="AE180" s="19">
        <f t="shared" si="228"/>
        <v>0</v>
      </c>
      <c r="AF180" s="19">
        <f t="shared" si="229"/>
        <v>0</v>
      </c>
      <c r="AG180" s="19">
        <f t="shared" si="230"/>
        <v>0</v>
      </c>
      <c r="AH180" s="19">
        <f t="shared" si="231"/>
        <v>0</v>
      </c>
      <c r="AI180" s="51" t="s">
        <v>294</v>
      </c>
      <c r="AJ180" s="19">
        <f t="shared" si="232"/>
        <v>0</v>
      </c>
      <c r="AK180" s="19">
        <f t="shared" si="233"/>
        <v>0</v>
      </c>
      <c r="AL180" s="19">
        <f t="shared" si="234"/>
        <v>0</v>
      </c>
      <c r="AN180" s="19">
        <v>21</v>
      </c>
      <c r="AO180" s="19">
        <f>H180*0.829420084865629</f>
        <v>0</v>
      </c>
      <c r="AP180" s="19">
        <f>H180*(1-0.829420084865629)</f>
        <v>0</v>
      </c>
      <c r="AQ180" s="3" t="s">
        <v>575</v>
      </c>
      <c r="AV180" s="19">
        <f t="shared" si="235"/>
        <v>0</v>
      </c>
      <c r="AW180" s="19">
        <f t="shared" si="236"/>
        <v>0</v>
      </c>
      <c r="AX180" s="19">
        <f t="shared" si="237"/>
        <v>0</v>
      </c>
      <c r="AY180" s="3" t="s">
        <v>109</v>
      </c>
      <c r="AZ180" s="3" t="s">
        <v>78</v>
      </c>
      <c r="BA180" s="51" t="s">
        <v>432</v>
      </c>
      <c r="BC180" s="19">
        <f t="shared" si="238"/>
        <v>0</v>
      </c>
      <c r="BD180" s="19">
        <f t="shared" si="239"/>
        <v>0</v>
      </c>
      <c r="BE180" s="19">
        <v>0</v>
      </c>
      <c r="BF180" s="19">
        <f t="shared" si="240"/>
        <v>0.008539999999999999</v>
      </c>
      <c r="BH180" s="19">
        <f t="shared" si="241"/>
        <v>0</v>
      </c>
      <c r="BI180" s="19">
        <f t="shared" si="242"/>
        <v>0</v>
      </c>
      <c r="BJ180" s="19">
        <f t="shared" si="243"/>
        <v>0</v>
      </c>
      <c r="BK180" s="19"/>
      <c r="BL180" s="19">
        <v>734</v>
      </c>
    </row>
    <row r="181" spans="1:64" ht="15" customHeight="1">
      <c r="A181" s="26" t="s">
        <v>229</v>
      </c>
      <c r="B181" s="21" t="s">
        <v>294</v>
      </c>
      <c r="C181" s="21" t="s">
        <v>86</v>
      </c>
      <c r="D181" s="64" t="s">
        <v>98</v>
      </c>
      <c r="E181" s="64"/>
      <c r="F181" s="21" t="s">
        <v>139</v>
      </c>
      <c r="G181" s="19">
        <v>12</v>
      </c>
      <c r="H181" s="19">
        <v>0</v>
      </c>
      <c r="I181" s="19">
        <f t="shared" si="220"/>
        <v>0</v>
      </c>
      <c r="J181" s="19">
        <f t="shared" si="221"/>
        <v>0</v>
      </c>
      <c r="K181" s="19">
        <f t="shared" si="222"/>
        <v>0</v>
      </c>
      <c r="L181" s="19">
        <v>0.00089</v>
      </c>
      <c r="M181" s="19">
        <f t="shared" si="223"/>
        <v>0.010679999999999999</v>
      </c>
      <c r="N181" s="41" t="s">
        <v>476</v>
      </c>
      <c r="Z181" s="19">
        <f t="shared" si="224"/>
        <v>0</v>
      </c>
      <c r="AB181" s="19">
        <f t="shared" si="225"/>
        <v>0</v>
      </c>
      <c r="AC181" s="19">
        <f t="shared" si="226"/>
        <v>0</v>
      </c>
      <c r="AD181" s="19">
        <f t="shared" si="227"/>
        <v>0</v>
      </c>
      <c r="AE181" s="19">
        <f t="shared" si="228"/>
        <v>0</v>
      </c>
      <c r="AF181" s="19">
        <f t="shared" si="229"/>
        <v>0</v>
      </c>
      <c r="AG181" s="19">
        <f t="shared" si="230"/>
        <v>0</v>
      </c>
      <c r="AH181" s="19">
        <f t="shared" si="231"/>
        <v>0</v>
      </c>
      <c r="AI181" s="51" t="s">
        <v>294</v>
      </c>
      <c r="AJ181" s="19">
        <f t="shared" si="232"/>
        <v>0</v>
      </c>
      <c r="AK181" s="19">
        <f t="shared" si="233"/>
        <v>0</v>
      </c>
      <c r="AL181" s="19">
        <f t="shared" si="234"/>
        <v>0</v>
      </c>
      <c r="AN181" s="19">
        <v>21</v>
      </c>
      <c r="AO181" s="19">
        <f>H181*0.854460285132383</f>
        <v>0</v>
      </c>
      <c r="AP181" s="19">
        <f>H181*(1-0.854460285132383)</f>
        <v>0</v>
      </c>
      <c r="AQ181" s="3" t="s">
        <v>575</v>
      </c>
      <c r="AV181" s="19">
        <f t="shared" si="235"/>
        <v>0</v>
      </c>
      <c r="AW181" s="19">
        <f t="shared" si="236"/>
        <v>0</v>
      </c>
      <c r="AX181" s="19">
        <f t="shared" si="237"/>
        <v>0</v>
      </c>
      <c r="AY181" s="3" t="s">
        <v>109</v>
      </c>
      <c r="AZ181" s="3" t="s">
        <v>78</v>
      </c>
      <c r="BA181" s="51" t="s">
        <v>432</v>
      </c>
      <c r="BC181" s="19">
        <f t="shared" si="238"/>
        <v>0</v>
      </c>
      <c r="BD181" s="19">
        <f t="shared" si="239"/>
        <v>0</v>
      </c>
      <c r="BE181" s="19">
        <v>0</v>
      </c>
      <c r="BF181" s="19">
        <f t="shared" si="240"/>
        <v>0.010679999999999999</v>
      </c>
      <c r="BH181" s="19">
        <f t="shared" si="241"/>
        <v>0</v>
      </c>
      <c r="BI181" s="19">
        <f t="shared" si="242"/>
        <v>0</v>
      </c>
      <c r="BJ181" s="19">
        <f t="shared" si="243"/>
        <v>0</v>
      </c>
      <c r="BK181" s="19"/>
      <c r="BL181" s="19">
        <v>734</v>
      </c>
    </row>
    <row r="182" spans="1:64" ht="15" customHeight="1">
      <c r="A182" s="26" t="s">
        <v>219</v>
      </c>
      <c r="B182" s="21" t="s">
        <v>294</v>
      </c>
      <c r="C182" s="21" t="s">
        <v>491</v>
      </c>
      <c r="D182" s="64" t="s">
        <v>599</v>
      </c>
      <c r="E182" s="64"/>
      <c r="F182" s="21" t="s">
        <v>139</v>
      </c>
      <c r="G182" s="19">
        <v>2</v>
      </c>
      <c r="H182" s="19">
        <v>0</v>
      </c>
      <c r="I182" s="19">
        <f t="shared" si="220"/>
        <v>0</v>
      </c>
      <c r="J182" s="19">
        <f t="shared" si="221"/>
        <v>0</v>
      </c>
      <c r="K182" s="19">
        <f t="shared" si="222"/>
        <v>0</v>
      </c>
      <c r="L182" s="19">
        <v>0.0013</v>
      </c>
      <c r="M182" s="19">
        <f t="shared" si="223"/>
        <v>0.0026</v>
      </c>
      <c r="N182" s="41" t="s">
        <v>476</v>
      </c>
      <c r="Z182" s="19">
        <f t="shared" si="224"/>
        <v>0</v>
      </c>
      <c r="AB182" s="19">
        <f t="shared" si="225"/>
        <v>0</v>
      </c>
      <c r="AC182" s="19">
        <f t="shared" si="226"/>
        <v>0</v>
      </c>
      <c r="AD182" s="19">
        <f t="shared" si="227"/>
        <v>0</v>
      </c>
      <c r="AE182" s="19">
        <f t="shared" si="228"/>
        <v>0</v>
      </c>
      <c r="AF182" s="19">
        <f t="shared" si="229"/>
        <v>0</v>
      </c>
      <c r="AG182" s="19">
        <f t="shared" si="230"/>
        <v>0</v>
      </c>
      <c r="AH182" s="19">
        <f t="shared" si="231"/>
        <v>0</v>
      </c>
      <c r="AI182" s="51" t="s">
        <v>294</v>
      </c>
      <c r="AJ182" s="19">
        <f t="shared" si="232"/>
        <v>0</v>
      </c>
      <c r="AK182" s="19">
        <f t="shared" si="233"/>
        <v>0</v>
      </c>
      <c r="AL182" s="19">
        <f t="shared" si="234"/>
        <v>0</v>
      </c>
      <c r="AN182" s="19">
        <v>21</v>
      </c>
      <c r="AO182" s="19">
        <f>H182*0.876427279173487</f>
        <v>0</v>
      </c>
      <c r="AP182" s="19">
        <f>H182*(1-0.876427279173487)</f>
        <v>0</v>
      </c>
      <c r="AQ182" s="3" t="s">
        <v>575</v>
      </c>
      <c r="AV182" s="19">
        <f t="shared" si="235"/>
        <v>0</v>
      </c>
      <c r="AW182" s="19">
        <f t="shared" si="236"/>
        <v>0</v>
      </c>
      <c r="AX182" s="19">
        <f t="shared" si="237"/>
        <v>0</v>
      </c>
      <c r="AY182" s="3" t="s">
        <v>109</v>
      </c>
      <c r="AZ182" s="3" t="s">
        <v>78</v>
      </c>
      <c r="BA182" s="51" t="s">
        <v>432</v>
      </c>
      <c r="BC182" s="19">
        <f t="shared" si="238"/>
        <v>0</v>
      </c>
      <c r="BD182" s="19">
        <f t="shared" si="239"/>
        <v>0</v>
      </c>
      <c r="BE182" s="19">
        <v>0</v>
      </c>
      <c r="BF182" s="19">
        <f t="shared" si="240"/>
        <v>0.0026</v>
      </c>
      <c r="BH182" s="19">
        <f t="shared" si="241"/>
        <v>0</v>
      </c>
      <c r="BI182" s="19">
        <f t="shared" si="242"/>
        <v>0</v>
      </c>
      <c r="BJ182" s="19">
        <f t="shared" si="243"/>
        <v>0</v>
      </c>
      <c r="BK182" s="19"/>
      <c r="BL182" s="19">
        <v>734</v>
      </c>
    </row>
    <row r="183" spans="1:64" ht="15" customHeight="1">
      <c r="A183" s="26" t="s">
        <v>305</v>
      </c>
      <c r="B183" s="21" t="s">
        <v>294</v>
      </c>
      <c r="C183" s="21" t="s">
        <v>216</v>
      </c>
      <c r="D183" s="64" t="s">
        <v>31</v>
      </c>
      <c r="E183" s="64"/>
      <c r="F183" s="21" t="s">
        <v>139</v>
      </c>
      <c r="G183" s="19">
        <v>40</v>
      </c>
      <c r="H183" s="19">
        <v>0</v>
      </c>
      <c r="I183" s="19">
        <f t="shared" si="220"/>
        <v>0</v>
      </c>
      <c r="J183" s="19">
        <f t="shared" si="221"/>
        <v>0</v>
      </c>
      <c r="K183" s="19">
        <f t="shared" si="222"/>
        <v>0</v>
      </c>
      <c r="L183" s="19">
        <v>0.00019</v>
      </c>
      <c r="M183" s="19">
        <f t="shared" si="223"/>
        <v>0.007600000000000001</v>
      </c>
      <c r="N183" s="41" t="s">
        <v>476</v>
      </c>
      <c r="Z183" s="19">
        <f t="shared" si="224"/>
        <v>0</v>
      </c>
      <c r="AB183" s="19">
        <f t="shared" si="225"/>
        <v>0</v>
      </c>
      <c r="AC183" s="19">
        <f t="shared" si="226"/>
        <v>0</v>
      </c>
      <c r="AD183" s="19">
        <f t="shared" si="227"/>
        <v>0</v>
      </c>
      <c r="AE183" s="19">
        <f t="shared" si="228"/>
        <v>0</v>
      </c>
      <c r="AF183" s="19">
        <f t="shared" si="229"/>
        <v>0</v>
      </c>
      <c r="AG183" s="19">
        <f t="shared" si="230"/>
        <v>0</v>
      </c>
      <c r="AH183" s="19">
        <f t="shared" si="231"/>
        <v>0</v>
      </c>
      <c r="AI183" s="51" t="s">
        <v>294</v>
      </c>
      <c r="AJ183" s="19">
        <f t="shared" si="232"/>
        <v>0</v>
      </c>
      <c r="AK183" s="19">
        <f t="shared" si="233"/>
        <v>0</v>
      </c>
      <c r="AL183" s="19">
        <f t="shared" si="234"/>
        <v>0</v>
      </c>
      <c r="AN183" s="19">
        <v>21</v>
      </c>
      <c r="AO183" s="19">
        <f>H183*0.852013422818792</f>
        <v>0</v>
      </c>
      <c r="AP183" s="19">
        <f>H183*(1-0.852013422818792)</f>
        <v>0</v>
      </c>
      <c r="AQ183" s="3" t="s">
        <v>575</v>
      </c>
      <c r="AV183" s="19">
        <f t="shared" si="235"/>
        <v>0</v>
      </c>
      <c r="AW183" s="19">
        <f t="shared" si="236"/>
        <v>0</v>
      </c>
      <c r="AX183" s="19">
        <f t="shared" si="237"/>
        <v>0</v>
      </c>
      <c r="AY183" s="3" t="s">
        <v>109</v>
      </c>
      <c r="AZ183" s="3" t="s">
        <v>78</v>
      </c>
      <c r="BA183" s="51" t="s">
        <v>432</v>
      </c>
      <c r="BC183" s="19">
        <f t="shared" si="238"/>
        <v>0</v>
      </c>
      <c r="BD183" s="19">
        <f t="shared" si="239"/>
        <v>0</v>
      </c>
      <c r="BE183" s="19">
        <v>0</v>
      </c>
      <c r="BF183" s="19">
        <f t="shared" si="240"/>
        <v>0.007600000000000001</v>
      </c>
      <c r="BH183" s="19">
        <f t="shared" si="241"/>
        <v>0</v>
      </c>
      <c r="BI183" s="19">
        <f t="shared" si="242"/>
        <v>0</v>
      </c>
      <c r="BJ183" s="19">
        <f t="shared" si="243"/>
        <v>0</v>
      </c>
      <c r="BK183" s="19"/>
      <c r="BL183" s="19">
        <v>734</v>
      </c>
    </row>
    <row r="184" spans="1:64" ht="15" customHeight="1">
      <c r="A184" s="26" t="s">
        <v>68</v>
      </c>
      <c r="B184" s="21" t="s">
        <v>294</v>
      </c>
      <c r="C184" s="21" t="s">
        <v>391</v>
      </c>
      <c r="D184" s="64" t="s">
        <v>423</v>
      </c>
      <c r="E184" s="64"/>
      <c r="F184" s="21" t="s">
        <v>139</v>
      </c>
      <c r="G184" s="19">
        <v>2</v>
      </c>
      <c r="H184" s="19">
        <v>0</v>
      </c>
      <c r="I184" s="19">
        <f t="shared" si="220"/>
        <v>0</v>
      </c>
      <c r="J184" s="19">
        <f t="shared" si="221"/>
        <v>0</v>
      </c>
      <c r="K184" s="19">
        <f t="shared" si="222"/>
        <v>0</v>
      </c>
      <c r="L184" s="19">
        <v>0.03902</v>
      </c>
      <c r="M184" s="19">
        <f t="shared" si="223"/>
        <v>0.07804</v>
      </c>
      <c r="N184" s="41" t="s">
        <v>476</v>
      </c>
      <c r="Z184" s="19">
        <f t="shared" si="224"/>
        <v>0</v>
      </c>
      <c r="AB184" s="19">
        <f t="shared" si="225"/>
        <v>0</v>
      </c>
      <c r="AC184" s="19">
        <f t="shared" si="226"/>
        <v>0</v>
      </c>
      <c r="AD184" s="19">
        <f t="shared" si="227"/>
        <v>0</v>
      </c>
      <c r="AE184" s="19">
        <f t="shared" si="228"/>
        <v>0</v>
      </c>
      <c r="AF184" s="19">
        <f t="shared" si="229"/>
        <v>0</v>
      </c>
      <c r="AG184" s="19">
        <f t="shared" si="230"/>
        <v>0</v>
      </c>
      <c r="AH184" s="19">
        <f t="shared" si="231"/>
        <v>0</v>
      </c>
      <c r="AI184" s="51" t="s">
        <v>294</v>
      </c>
      <c r="AJ184" s="19">
        <f t="shared" si="232"/>
        <v>0</v>
      </c>
      <c r="AK184" s="19">
        <f t="shared" si="233"/>
        <v>0</v>
      </c>
      <c r="AL184" s="19">
        <f t="shared" si="234"/>
        <v>0</v>
      </c>
      <c r="AN184" s="19">
        <v>21</v>
      </c>
      <c r="AO184" s="19">
        <f>H184*0.00616732470676388</f>
        <v>0</v>
      </c>
      <c r="AP184" s="19">
        <f>H184*(1-0.00616732470676388)</f>
        <v>0</v>
      </c>
      <c r="AQ184" s="3" t="s">
        <v>575</v>
      </c>
      <c r="AV184" s="19">
        <f t="shared" si="235"/>
        <v>0</v>
      </c>
      <c r="AW184" s="19">
        <f t="shared" si="236"/>
        <v>0</v>
      </c>
      <c r="AX184" s="19">
        <f t="shared" si="237"/>
        <v>0</v>
      </c>
      <c r="AY184" s="3" t="s">
        <v>109</v>
      </c>
      <c r="AZ184" s="3" t="s">
        <v>78</v>
      </c>
      <c r="BA184" s="51" t="s">
        <v>432</v>
      </c>
      <c r="BC184" s="19">
        <f t="shared" si="238"/>
        <v>0</v>
      </c>
      <c r="BD184" s="19">
        <f t="shared" si="239"/>
        <v>0</v>
      </c>
      <c r="BE184" s="19">
        <v>0</v>
      </c>
      <c r="BF184" s="19">
        <f t="shared" si="240"/>
        <v>0.07804</v>
      </c>
      <c r="BH184" s="19">
        <f t="shared" si="241"/>
        <v>0</v>
      </c>
      <c r="BI184" s="19">
        <f t="shared" si="242"/>
        <v>0</v>
      </c>
      <c r="BJ184" s="19">
        <f t="shared" si="243"/>
        <v>0</v>
      </c>
      <c r="BK184" s="19"/>
      <c r="BL184" s="19">
        <v>734</v>
      </c>
    </row>
    <row r="185" spans="1:64" ht="15" customHeight="1">
      <c r="A185" s="26" t="s">
        <v>298</v>
      </c>
      <c r="B185" s="21" t="s">
        <v>294</v>
      </c>
      <c r="C185" s="21" t="s">
        <v>351</v>
      </c>
      <c r="D185" s="64" t="s">
        <v>449</v>
      </c>
      <c r="E185" s="64"/>
      <c r="F185" s="21" t="s">
        <v>139</v>
      </c>
      <c r="G185" s="19">
        <v>40</v>
      </c>
      <c r="H185" s="19">
        <v>0</v>
      </c>
      <c r="I185" s="19">
        <f t="shared" si="220"/>
        <v>0</v>
      </c>
      <c r="J185" s="19">
        <f t="shared" si="221"/>
        <v>0</v>
      </c>
      <c r="K185" s="19">
        <f t="shared" si="222"/>
        <v>0</v>
      </c>
      <c r="L185" s="19">
        <v>0.00049</v>
      </c>
      <c r="M185" s="19">
        <f t="shared" si="223"/>
        <v>0.0196</v>
      </c>
      <c r="N185" s="41" t="s">
        <v>476</v>
      </c>
      <c r="Z185" s="19">
        <f t="shared" si="224"/>
        <v>0</v>
      </c>
      <c r="AB185" s="19">
        <f t="shared" si="225"/>
        <v>0</v>
      </c>
      <c r="AC185" s="19">
        <f t="shared" si="226"/>
        <v>0</v>
      </c>
      <c r="AD185" s="19">
        <f t="shared" si="227"/>
        <v>0</v>
      </c>
      <c r="AE185" s="19">
        <f t="shared" si="228"/>
        <v>0</v>
      </c>
      <c r="AF185" s="19">
        <f t="shared" si="229"/>
        <v>0</v>
      </c>
      <c r="AG185" s="19">
        <f t="shared" si="230"/>
        <v>0</v>
      </c>
      <c r="AH185" s="19">
        <f t="shared" si="231"/>
        <v>0</v>
      </c>
      <c r="AI185" s="51" t="s">
        <v>294</v>
      </c>
      <c r="AJ185" s="19">
        <f t="shared" si="232"/>
        <v>0</v>
      </c>
      <c r="AK185" s="19">
        <f t="shared" si="233"/>
        <v>0</v>
      </c>
      <c r="AL185" s="19">
        <f t="shared" si="234"/>
        <v>0</v>
      </c>
      <c r="AN185" s="19">
        <v>21</v>
      </c>
      <c r="AO185" s="19">
        <f>H185*0.298618784530387</f>
        <v>0</v>
      </c>
      <c r="AP185" s="19">
        <f>H185*(1-0.298618784530387)</f>
        <v>0</v>
      </c>
      <c r="AQ185" s="3" t="s">
        <v>575</v>
      </c>
      <c r="AV185" s="19">
        <f t="shared" si="235"/>
        <v>0</v>
      </c>
      <c r="AW185" s="19">
        <f t="shared" si="236"/>
        <v>0</v>
      </c>
      <c r="AX185" s="19">
        <f t="shared" si="237"/>
        <v>0</v>
      </c>
      <c r="AY185" s="3" t="s">
        <v>109</v>
      </c>
      <c r="AZ185" s="3" t="s">
        <v>78</v>
      </c>
      <c r="BA185" s="51" t="s">
        <v>432</v>
      </c>
      <c r="BC185" s="19">
        <f t="shared" si="238"/>
        <v>0</v>
      </c>
      <c r="BD185" s="19">
        <f t="shared" si="239"/>
        <v>0</v>
      </c>
      <c r="BE185" s="19">
        <v>0</v>
      </c>
      <c r="BF185" s="19">
        <f t="shared" si="240"/>
        <v>0.0196</v>
      </c>
      <c r="BH185" s="19">
        <f t="shared" si="241"/>
        <v>0</v>
      </c>
      <c r="BI185" s="19">
        <f t="shared" si="242"/>
        <v>0</v>
      </c>
      <c r="BJ185" s="19">
        <f t="shared" si="243"/>
        <v>0</v>
      </c>
      <c r="BK185" s="19"/>
      <c r="BL185" s="19">
        <v>734</v>
      </c>
    </row>
    <row r="186" spans="1:64" ht="15" customHeight="1">
      <c r="A186" s="26" t="s">
        <v>34</v>
      </c>
      <c r="B186" s="21" t="s">
        <v>294</v>
      </c>
      <c r="C186" s="21" t="s">
        <v>57</v>
      </c>
      <c r="D186" s="64" t="s">
        <v>196</v>
      </c>
      <c r="E186" s="64"/>
      <c r="F186" s="21" t="s">
        <v>139</v>
      </c>
      <c r="G186" s="19">
        <v>62</v>
      </c>
      <c r="H186" s="19">
        <v>0</v>
      </c>
      <c r="I186" s="19">
        <f t="shared" si="220"/>
        <v>0</v>
      </c>
      <c r="J186" s="19">
        <f t="shared" si="221"/>
        <v>0</v>
      </c>
      <c r="K186" s="19">
        <f t="shared" si="222"/>
        <v>0</v>
      </c>
      <c r="L186" s="19">
        <v>0.00123</v>
      </c>
      <c r="M186" s="19">
        <f t="shared" si="223"/>
        <v>0.07626</v>
      </c>
      <c r="N186" s="41" t="s">
        <v>476</v>
      </c>
      <c r="Z186" s="19">
        <f t="shared" si="224"/>
        <v>0</v>
      </c>
      <c r="AB186" s="19">
        <f t="shared" si="225"/>
        <v>0</v>
      </c>
      <c r="AC186" s="19">
        <f t="shared" si="226"/>
        <v>0</v>
      </c>
      <c r="AD186" s="19">
        <f t="shared" si="227"/>
        <v>0</v>
      </c>
      <c r="AE186" s="19">
        <f t="shared" si="228"/>
        <v>0</v>
      </c>
      <c r="AF186" s="19">
        <f t="shared" si="229"/>
        <v>0</v>
      </c>
      <c r="AG186" s="19">
        <f t="shared" si="230"/>
        <v>0</v>
      </c>
      <c r="AH186" s="19">
        <f t="shared" si="231"/>
        <v>0</v>
      </c>
      <c r="AI186" s="51" t="s">
        <v>294</v>
      </c>
      <c r="AJ186" s="19">
        <f t="shared" si="232"/>
        <v>0</v>
      </c>
      <c r="AK186" s="19">
        <f t="shared" si="233"/>
        <v>0</v>
      </c>
      <c r="AL186" s="19">
        <f t="shared" si="234"/>
        <v>0</v>
      </c>
      <c r="AN186" s="19">
        <v>21</v>
      </c>
      <c r="AO186" s="19">
        <f>H186*0.228137931034483</f>
        <v>0</v>
      </c>
      <c r="AP186" s="19">
        <f>H186*(1-0.228137931034483)</f>
        <v>0</v>
      </c>
      <c r="AQ186" s="3" t="s">
        <v>575</v>
      </c>
      <c r="AV186" s="19">
        <f t="shared" si="235"/>
        <v>0</v>
      </c>
      <c r="AW186" s="19">
        <f t="shared" si="236"/>
        <v>0</v>
      </c>
      <c r="AX186" s="19">
        <f t="shared" si="237"/>
        <v>0</v>
      </c>
      <c r="AY186" s="3" t="s">
        <v>109</v>
      </c>
      <c r="AZ186" s="3" t="s">
        <v>78</v>
      </c>
      <c r="BA186" s="51" t="s">
        <v>432</v>
      </c>
      <c r="BC186" s="19">
        <f t="shared" si="238"/>
        <v>0</v>
      </c>
      <c r="BD186" s="19">
        <f t="shared" si="239"/>
        <v>0</v>
      </c>
      <c r="BE186" s="19">
        <v>0</v>
      </c>
      <c r="BF186" s="19">
        <f t="shared" si="240"/>
        <v>0.07626</v>
      </c>
      <c r="BH186" s="19">
        <f t="shared" si="241"/>
        <v>0</v>
      </c>
      <c r="BI186" s="19">
        <f t="shared" si="242"/>
        <v>0</v>
      </c>
      <c r="BJ186" s="19">
        <f t="shared" si="243"/>
        <v>0</v>
      </c>
      <c r="BK186" s="19"/>
      <c r="BL186" s="19">
        <v>734</v>
      </c>
    </row>
    <row r="187" spans="1:64" ht="15" customHeight="1">
      <c r="A187" s="26" t="s">
        <v>619</v>
      </c>
      <c r="B187" s="21" t="s">
        <v>294</v>
      </c>
      <c r="C187" s="21" t="s">
        <v>368</v>
      </c>
      <c r="D187" s="64" t="s">
        <v>649</v>
      </c>
      <c r="E187" s="64"/>
      <c r="F187" s="21" t="s">
        <v>139</v>
      </c>
      <c r="G187" s="19">
        <v>14</v>
      </c>
      <c r="H187" s="19">
        <v>0</v>
      </c>
      <c r="I187" s="19">
        <f t="shared" si="220"/>
        <v>0</v>
      </c>
      <c r="J187" s="19">
        <f t="shared" si="221"/>
        <v>0</v>
      </c>
      <c r="K187" s="19">
        <f t="shared" si="222"/>
        <v>0</v>
      </c>
      <c r="L187" s="19">
        <v>0.00237</v>
      </c>
      <c r="M187" s="19">
        <f t="shared" si="223"/>
        <v>0.03318</v>
      </c>
      <c r="N187" s="41" t="s">
        <v>476</v>
      </c>
      <c r="Z187" s="19">
        <f t="shared" si="224"/>
        <v>0</v>
      </c>
      <c r="AB187" s="19">
        <f t="shared" si="225"/>
        <v>0</v>
      </c>
      <c r="AC187" s="19">
        <f t="shared" si="226"/>
        <v>0</v>
      </c>
      <c r="AD187" s="19">
        <f t="shared" si="227"/>
        <v>0</v>
      </c>
      <c r="AE187" s="19">
        <f t="shared" si="228"/>
        <v>0</v>
      </c>
      <c r="AF187" s="19">
        <f t="shared" si="229"/>
        <v>0</v>
      </c>
      <c r="AG187" s="19">
        <f t="shared" si="230"/>
        <v>0</v>
      </c>
      <c r="AH187" s="19">
        <f t="shared" si="231"/>
        <v>0</v>
      </c>
      <c r="AI187" s="51" t="s">
        <v>294</v>
      </c>
      <c r="AJ187" s="19">
        <f t="shared" si="232"/>
        <v>0</v>
      </c>
      <c r="AK187" s="19">
        <f t="shared" si="233"/>
        <v>0</v>
      </c>
      <c r="AL187" s="19">
        <f t="shared" si="234"/>
        <v>0</v>
      </c>
      <c r="AN187" s="19">
        <v>21</v>
      </c>
      <c r="AO187" s="19">
        <f>H187*0.224795154969719</f>
        <v>0</v>
      </c>
      <c r="AP187" s="19">
        <f>H187*(1-0.224795154969719)</f>
        <v>0</v>
      </c>
      <c r="AQ187" s="3" t="s">
        <v>575</v>
      </c>
      <c r="AV187" s="19">
        <f t="shared" si="235"/>
        <v>0</v>
      </c>
      <c r="AW187" s="19">
        <f t="shared" si="236"/>
        <v>0</v>
      </c>
      <c r="AX187" s="19">
        <f t="shared" si="237"/>
        <v>0</v>
      </c>
      <c r="AY187" s="3" t="s">
        <v>109</v>
      </c>
      <c r="AZ187" s="3" t="s">
        <v>78</v>
      </c>
      <c r="BA187" s="51" t="s">
        <v>432</v>
      </c>
      <c r="BC187" s="19">
        <f t="shared" si="238"/>
        <v>0</v>
      </c>
      <c r="BD187" s="19">
        <f t="shared" si="239"/>
        <v>0</v>
      </c>
      <c r="BE187" s="19">
        <v>0</v>
      </c>
      <c r="BF187" s="19">
        <f t="shared" si="240"/>
        <v>0.03318</v>
      </c>
      <c r="BH187" s="19">
        <f t="shared" si="241"/>
        <v>0</v>
      </c>
      <c r="BI187" s="19">
        <f t="shared" si="242"/>
        <v>0</v>
      </c>
      <c r="BJ187" s="19">
        <f t="shared" si="243"/>
        <v>0</v>
      </c>
      <c r="BK187" s="19"/>
      <c r="BL187" s="19">
        <v>734</v>
      </c>
    </row>
    <row r="188" spans="1:64" ht="15" customHeight="1">
      <c r="A188" s="26" t="s">
        <v>328</v>
      </c>
      <c r="B188" s="21" t="s">
        <v>294</v>
      </c>
      <c r="C188" s="21" t="s">
        <v>474</v>
      </c>
      <c r="D188" s="64" t="s">
        <v>641</v>
      </c>
      <c r="E188" s="64"/>
      <c r="F188" s="21" t="s">
        <v>139</v>
      </c>
      <c r="G188" s="19">
        <v>44</v>
      </c>
      <c r="H188" s="19">
        <v>0</v>
      </c>
      <c r="I188" s="19">
        <f t="shared" si="220"/>
        <v>0</v>
      </c>
      <c r="J188" s="19">
        <f t="shared" si="221"/>
        <v>0</v>
      </c>
      <c r="K188" s="19">
        <f t="shared" si="222"/>
        <v>0</v>
      </c>
      <c r="L188" s="19">
        <v>0.00026</v>
      </c>
      <c r="M188" s="19">
        <f t="shared" si="223"/>
        <v>0.011439999999999999</v>
      </c>
      <c r="N188" s="41" t="s">
        <v>476</v>
      </c>
      <c r="Z188" s="19">
        <f t="shared" si="224"/>
        <v>0</v>
      </c>
      <c r="AB188" s="19">
        <f t="shared" si="225"/>
        <v>0</v>
      </c>
      <c r="AC188" s="19">
        <f t="shared" si="226"/>
        <v>0</v>
      </c>
      <c r="AD188" s="19">
        <f t="shared" si="227"/>
        <v>0</v>
      </c>
      <c r="AE188" s="19">
        <f t="shared" si="228"/>
        <v>0</v>
      </c>
      <c r="AF188" s="19">
        <f t="shared" si="229"/>
        <v>0</v>
      </c>
      <c r="AG188" s="19">
        <f t="shared" si="230"/>
        <v>0</v>
      </c>
      <c r="AH188" s="19">
        <f t="shared" si="231"/>
        <v>0</v>
      </c>
      <c r="AI188" s="51" t="s">
        <v>294</v>
      </c>
      <c r="AJ188" s="19">
        <f t="shared" si="232"/>
        <v>0</v>
      </c>
      <c r="AK188" s="19">
        <f t="shared" si="233"/>
        <v>0</v>
      </c>
      <c r="AL188" s="19">
        <f t="shared" si="234"/>
        <v>0</v>
      </c>
      <c r="AN188" s="19">
        <v>21</v>
      </c>
      <c r="AO188" s="19">
        <f>H188*0.272260351802191</f>
        <v>0</v>
      </c>
      <c r="AP188" s="19">
        <f>H188*(1-0.272260351802191)</f>
        <v>0</v>
      </c>
      <c r="AQ188" s="3" t="s">
        <v>575</v>
      </c>
      <c r="AV188" s="19">
        <f t="shared" si="235"/>
        <v>0</v>
      </c>
      <c r="AW188" s="19">
        <f t="shared" si="236"/>
        <v>0</v>
      </c>
      <c r="AX188" s="19">
        <f t="shared" si="237"/>
        <v>0</v>
      </c>
      <c r="AY188" s="3" t="s">
        <v>109</v>
      </c>
      <c r="AZ188" s="3" t="s">
        <v>78</v>
      </c>
      <c r="BA188" s="51" t="s">
        <v>432</v>
      </c>
      <c r="BC188" s="19">
        <f t="shared" si="238"/>
        <v>0</v>
      </c>
      <c r="BD188" s="19">
        <f t="shared" si="239"/>
        <v>0</v>
      </c>
      <c r="BE188" s="19">
        <v>0</v>
      </c>
      <c r="BF188" s="19">
        <f t="shared" si="240"/>
        <v>0.011439999999999999</v>
      </c>
      <c r="BH188" s="19">
        <f t="shared" si="241"/>
        <v>0</v>
      </c>
      <c r="BI188" s="19">
        <f t="shared" si="242"/>
        <v>0</v>
      </c>
      <c r="BJ188" s="19">
        <f t="shared" si="243"/>
        <v>0</v>
      </c>
      <c r="BK188" s="19"/>
      <c r="BL188" s="19">
        <v>734</v>
      </c>
    </row>
    <row r="189" spans="1:64" ht="15" customHeight="1">
      <c r="A189" s="26" t="s">
        <v>232</v>
      </c>
      <c r="B189" s="21" t="s">
        <v>294</v>
      </c>
      <c r="C189" s="21" t="s">
        <v>167</v>
      </c>
      <c r="D189" s="64" t="s">
        <v>286</v>
      </c>
      <c r="E189" s="64"/>
      <c r="F189" s="21" t="s">
        <v>139</v>
      </c>
      <c r="G189" s="19">
        <v>28</v>
      </c>
      <c r="H189" s="19">
        <v>0</v>
      </c>
      <c r="I189" s="19">
        <f t="shared" si="220"/>
        <v>0</v>
      </c>
      <c r="J189" s="19">
        <f t="shared" si="221"/>
        <v>0</v>
      </c>
      <c r="K189" s="19">
        <f t="shared" si="222"/>
        <v>0</v>
      </c>
      <c r="L189" s="19">
        <v>0.00037</v>
      </c>
      <c r="M189" s="19">
        <f t="shared" si="223"/>
        <v>0.01036</v>
      </c>
      <c r="N189" s="41" t="s">
        <v>476</v>
      </c>
      <c r="Z189" s="19">
        <f t="shared" si="224"/>
        <v>0</v>
      </c>
      <c r="AB189" s="19">
        <f t="shared" si="225"/>
        <v>0</v>
      </c>
      <c r="AC189" s="19">
        <f t="shared" si="226"/>
        <v>0</v>
      </c>
      <c r="AD189" s="19">
        <f t="shared" si="227"/>
        <v>0</v>
      </c>
      <c r="AE189" s="19">
        <f t="shared" si="228"/>
        <v>0</v>
      </c>
      <c r="AF189" s="19">
        <f t="shared" si="229"/>
        <v>0</v>
      </c>
      <c r="AG189" s="19">
        <f t="shared" si="230"/>
        <v>0</v>
      </c>
      <c r="AH189" s="19">
        <f t="shared" si="231"/>
        <v>0</v>
      </c>
      <c r="AI189" s="51" t="s">
        <v>294</v>
      </c>
      <c r="AJ189" s="19">
        <f t="shared" si="232"/>
        <v>0</v>
      </c>
      <c r="AK189" s="19">
        <f t="shared" si="233"/>
        <v>0</v>
      </c>
      <c r="AL189" s="19">
        <f t="shared" si="234"/>
        <v>0</v>
      </c>
      <c r="AN189" s="19">
        <v>21</v>
      </c>
      <c r="AO189" s="19">
        <f>H189*0.303333333333333</f>
        <v>0</v>
      </c>
      <c r="AP189" s="19">
        <f>H189*(1-0.303333333333333)</f>
        <v>0</v>
      </c>
      <c r="AQ189" s="3" t="s">
        <v>575</v>
      </c>
      <c r="AV189" s="19">
        <f t="shared" si="235"/>
        <v>0</v>
      </c>
      <c r="AW189" s="19">
        <f t="shared" si="236"/>
        <v>0</v>
      </c>
      <c r="AX189" s="19">
        <f t="shared" si="237"/>
        <v>0</v>
      </c>
      <c r="AY189" s="3" t="s">
        <v>109</v>
      </c>
      <c r="AZ189" s="3" t="s">
        <v>78</v>
      </c>
      <c r="BA189" s="51" t="s">
        <v>432</v>
      </c>
      <c r="BC189" s="19">
        <f t="shared" si="238"/>
        <v>0</v>
      </c>
      <c r="BD189" s="19">
        <f t="shared" si="239"/>
        <v>0</v>
      </c>
      <c r="BE189" s="19">
        <v>0</v>
      </c>
      <c r="BF189" s="19">
        <f t="shared" si="240"/>
        <v>0.01036</v>
      </c>
      <c r="BH189" s="19">
        <f t="shared" si="241"/>
        <v>0</v>
      </c>
      <c r="BI189" s="19">
        <f t="shared" si="242"/>
        <v>0</v>
      </c>
      <c r="BJ189" s="19">
        <f t="shared" si="243"/>
        <v>0</v>
      </c>
      <c r="BK189" s="19"/>
      <c r="BL189" s="19">
        <v>734</v>
      </c>
    </row>
    <row r="190" spans="1:64" ht="15" customHeight="1">
      <c r="A190" s="26" t="s">
        <v>165</v>
      </c>
      <c r="B190" s="21" t="s">
        <v>294</v>
      </c>
      <c r="C190" s="21" t="s">
        <v>384</v>
      </c>
      <c r="D190" s="64" t="s">
        <v>118</v>
      </c>
      <c r="E190" s="64"/>
      <c r="F190" s="21" t="s">
        <v>139</v>
      </c>
      <c r="G190" s="19">
        <v>24</v>
      </c>
      <c r="H190" s="19">
        <v>0</v>
      </c>
      <c r="I190" s="19">
        <f t="shared" si="220"/>
        <v>0</v>
      </c>
      <c r="J190" s="19">
        <f t="shared" si="221"/>
        <v>0</v>
      </c>
      <c r="K190" s="19">
        <f t="shared" si="222"/>
        <v>0</v>
      </c>
      <c r="L190" s="19">
        <v>0.00042</v>
      </c>
      <c r="M190" s="19">
        <f t="shared" si="223"/>
        <v>0.01008</v>
      </c>
      <c r="N190" s="41" t="s">
        <v>476</v>
      </c>
      <c r="Z190" s="19">
        <f t="shared" si="224"/>
        <v>0</v>
      </c>
      <c r="AB190" s="19">
        <f t="shared" si="225"/>
        <v>0</v>
      </c>
      <c r="AC190" s="19">
        <f t="shared" si="226"/>
        <v>0</v>
      </c>
      <c r="AD190" s="19">
        <f t="shared" si="227"/>
        <v>0</v>
      </c>
      <c r="AE190" s="19">
        <f t="shared" si="228"/>
        <v>0</v>
      </c>
      <c r="AF190" s="19">
        <f t="shared" si="229"/>
        <v>0</v>
      </c>
      <c r="AG190" s="19">
        <f t="shared" si="230"/>
        <v>0</v>
      </c>
      <c r="AH190" s="19">
        <f t="shared" si="231"/>
        <v>0</v>
      </c>
      <c r="AI190" s="51" t="s">
        <v>294</v>
      </c>
      <c r="AJ190" s="19">
        <f t="shared" si="232"/>
        <v>0</v>
      </c>
      <c r="AK190" s="19">
        <f t="shared" si="233"/>
        <v>0</v>
      </c>
      <c r="AL190" s="19">
        <f t="shared" si="234"/>
        <v>0</v>
      </c>
      <c r="AN190" s="19">
        <v>21</v>
      </c>
      <c r="AO190" s="19">
        <f>H190*0.320180885959046</f>
        <v>0</v>
      </c>
      <c r="AP190" s="19">
        <f>H190*(1-0.320180885959046)</f>
        <v>0</v>
      </c>
      <c r="AQ190" s="3" t="s">
        <v>575</v>
      </c>
      <c r="AV190" s="19">
        <f t="shared" si="235"/>
        <v>0</v>
      </c>
      <c r="AW190" s="19">
        <f t="shared" si="236"/>
        <v>0</v>
      </c>
      <c r="AX190" s="19">
        <f t="shared" si="237"/>
        <v>0</v>
      </c>
      <c r="AY190" s="3" t="s">
        <v>109</v>
      </c>
      <c r="AZ190" s="3" t="s">
        <v>78</v>
      </c>
      <c r="BA190" s="51" t="s">
        <v>432</v>
      </c>
      <c r="BC190" s="19">
        <f t="shared" si="238"/>
        <v>0</v>
      </c>
      <c r="BD190" s="19">
        <f t="shared" si="239"/>
        <v>0</v>
      </c>
      <c r="BE190" s="19">
        <v>0</v>
      </c>
      <c r="BF190" s="19">
        <f t="shared" si="240"/>
        <v>0.01008</v>
      </c>
      <c r="BH190" s="19">
        <f t="shared" si="241"/>
        <v>0</v>
      </c>
      <c r="BI190" s="19">
        <f t="shared" si="242"/>
        <v>0</v>
      </c>
      <c r="BJ190" s="19">
        <f t="shared" si="243"/>
        <v>0</v>
      </c>
      <c r="BK190" s="19"/>
      <c r="BL190" s="19">
        <v>734</v>
      </c>
    </row>
    <row r="191" spans="1:64" ht="15" customHeight="1">
      <c r="A191" s="26" t="s">
        <v>394</v>
      </c>
      <c r="B191" s="21" t="s">
        <v>294</v>
      </c>
      <c r="C191" s="21" t="s">
        <v>622</v>
      </c>
      <c r="D191" s="64" t="s">
        <v>73</v>
      </c>
      <c r="E191" s="64"/>
      <c r="F191" s="21" t="s">
        <v>139</v>
      </c>
      <c r="G191" s="19">
        <v>4</v>
      </c>
      <c r="H191" s="19">
        <v>0</v>
      </c>
      <c r="I191" s="19">
        <f t="shared" si="220"/>
        <v>0</v>
      </c>
      <c r="J191" s="19">
        <f t="shared" si="221"/>
        <v>0</v>
      </c>
      <c r="K191" s="19">
        <f t="shared" si="222"/>
        <v>0</v>
      </c>
      <c r="L191" s="19">
        <v>0.00051</v>
      </c>
      <c r="M191" s="19">
        <f t="shared" si="223"/>
        <v>0.00204</v>
      </c>
      <c r="N191" s="41" t="s">
        <v>476</v>
      </c>
      <c r="Z191" s="19">
        <f t="shared" si="224"/>
        <v>0</v>
      </c>
      <c r="AB191" s="19">
        <f t="shared" si="225"/>
        <v>0</v>
      </c>
      <c r="AC191" s="19">
        <f t="shared" si="226"/>
        <v>0</v>
      </c>
      <c r="AD191" s="19">
        <f t="shared" si="227"/>
        <v>0</v>
      </c>
      <c r="AE191" s="19">
        <f t="shared" si="228"/>
        <v>0</v>
      </c>
      <c r="AF191" s="19">
        <f t="shared" si="229"/>
        <v>0</v>
      </c>
      <c r="AG191" s="19">
        <f t="shared" si="230"/>
        <v>0</v>
      </c>
      <c r="AH191" s="19">
        <f t="shared" si="231"/>
        <v>0</v>
      </c>
      <c r="AI191" s="51" t="s">
        <v>294</v>
      </c>
      <c r="AJ191" s="19">
        <f t="shared" si="232"/>
        <v>0</v>
      </c>
      <c r="AK191" s="19">
        <f t="shared" si="233"/>
        <v>0</v>
      </c>
      <c r="AL191" s="19">
        <f t="shared" si="234"/>
        <v>0</v>
      </c>
      <c r="AN191" s="19">
        <v>21</v>
      </c>
      <c r="AO191" s="19">
        <f>H191*0.327557354925776</f>
        <v>0</v>
      </c>
      <c r="AP191" s="19">
        <f>H191*(1-0.327557354925776)</f>
        <v>0</v>
      </c>
      <c r="AQ191" s="3" t="s">
        <v>575</v>
      </c>
      <c r="AV191" s="19">
        <f t="shared" si="235"/>
        <v>0</v>
      </c>
      <c r="AW191" s="19">
        <f t="shared" si="236"/>
        <v>0</v>
      </c>
      <c r="AX191" s="19">
        <f t="shared" si="237"/>
        <v>0</v>
      </c>
      <c r="AY191" s="3" t="s">
        <v>109</v>
      </c>
      <c r="AZ191" s="3" t="s">
        <v>78</v>
      </c>
      <c r="BA191" s="51" t="s">
        <v>432</v>
      </c>
      <c r="BC191" s="19">
        <f t="shared" si="238"/>
        <v>0</v>
      </c>
      <c r="BD191" s="19">
        <f t="shared" si="239"/>
        <v>0</v>
      </c>
      <c r="BE191" s="19">
        <v>0</v>
      </c>
      <c r="BF191" s="19">
        <f t="shared" si="240"/>
        <v>0.00204</v>
      </c>
      <c r="BH191" s="19">
        <f t="shared" si="241"/>
        <v>0</v>
      </c>
      <c r="BI191" s="19">
        <f t="shared" si="242"/>
        <v>0</v>
      </c>
      <c r="BJ191" s="19">
        <f t="shared" si="243"/>
        <v>0</v>
      </c>
      <c r="BK191" s="19"/>
      <c r="BL191" s="19">
        <v>734</v>
      </c>
    </row>
    <row r="192" spans="1:47" ht="15" customHeight="1">
      <c r="A192" s="61" t="s">
        <v>392</v>
      </c>
      <c r="B192" s="36" t="s">
        <v>294</v>
      </c>
      <c r="C192" s="36" t="s">
        <v>323</v>
      </c>
      <c r="D192" s="68" t="s">
        <v>459</v>
      </c>
      <c r="E192" s="68"/>
      <c r="F192" s="1" t="s">
        <v>525</v>
      </c>
      <c r="G192" s="1" t="s">
        <v>525</v>
      </c>
      <c r="H192" s="1" t="s">
        <v>525</v>
      </c>
      <c r="I192" s="33">
        <f>SUM(I193:I193)</f>
        <v>0</v>
      </c>
      <c r="J192" s="33">
        <f>SUM(J193:J193)</f>
        <v>0</v>
      </c>
      <c r="K192" s="33">
        <f>SUM(K193:K193)</f>
        <v>0</v>
      </c>
      <c r="L192" s="51" t="s">
        <v>392</v>
      </c>
      <c r="M192" s="33">
        <f>SUM(M193:M193)</f>
        <v>0.018000000000000002</v>
      </c>
      <c r="N192" s="58" t="s">
        <v>392</v>
      </c>
      <c r="AI192" s="51" t="s">
        <v>294</v>
      </c>
      <c r="AS192" s="33">
        <f>SUM(AJ193:AJ193)</f>
        <v>0</v>
      </c>
      <c r="AT192" s="33">
        <f>SUM(AK193:AK193)</f>
        <v>0</v>
      </c>
      <c r="AU192" s="33">
        <f>SUM(AL193:AL193)</f>
        <v>0</v>
      </c>
    </row>
    <row r="193" spans="1:64" ht="15" customHeight="1">
      <c r="A193" s="26" t="s">
        <v>527</v>
      </c>
      <c r="B193" s="21" t="s">
        <v>294</v>
      </c>
      <c r="C193" s="21" t="s">
        <v>576</v>
      </c>
      <c r="D193" s="64" t="s">
        <v>287</v>
      </c>
      <c r="E193" s="64"/>
      <c r="F193" s="21" t="s">
        <v>139</v>
      </c>
      <c r="G193" s="19">
        <v>90</v>
      </c>
      <c r="H193" s="19">
        <v>0</v>
      </c>
      <c r="I193" s="19">
        <f>G193*AO193</f>
        <v>0</v>
      </c>
      <c r="J193" s="19">
        <f>G193*AP193</f>
        <v>0</v>
      </c>
      <c r="K193" s="19">
        <f>G193*H193</f>
        <v>0</v>
      </c>
      <c r="L193" s="19">
        <v>0.0002</v>
      </c>
      <c r="M193" s="19">
        <f>G193*L193</f>
        <v>0.018000000000000002</v>
      </c>
      <c r="N193" s="41" t="s">
        <v>476</v>
      </c>
      <c r="Z193" s="19">
        <f>IF(AQ193="5",BJ193,0)</f>
        <v>0</v>
      </c>
      <c r="AB193" s="19">
        <f>IF(AQ193="1",BH193,0)</f>
        <v>0</v>
      </c>
      <c r="AC193" s="19">
        <f>IF(AQ193="1",BI193,0)</f>
        <v>0</v>
      </c>
      <c r="AD193" s="19">
        <f>IF(AQ193="7",BH193,0)</f>
        <v>0</v>
      </c>
      <c r="AE193" s="19">
        <f>IF(AQ193="7",BI193,0)</f>
        <v>0</v>
      </c>
      <c r="AF193" s="19">
        <f>IF(AQ193="2",BH193,0)</f>
        <v>0</v>
      </c>
      <c r="AG193" s="19">
        <f>IF(AQ193="2",BI193,0)</f>
        <v>0</v>
      </c>
      <c r="AH193" s="19">
        <f>IF(AQ193="0",BJ193,0)</f>
        <v>0</v>
      </c>
      <c r="AI193" s="51" t="s">
        <v>294</v>
      </c>
      <c r="AJ193" s="19">
        <f>IF(AN193=0,K193,0)</f>
        <v>0</v>
      </c>
      <c r="AK193" s="19">
        <f>IF(AN193=15,K193,0)</f>
        <v>0</v>
      </c>
      <c r="AL193" s="19">
        <f>IF(AN193=21,K193,0)</f>
        <v>0</v>
      </c>
      <c r="AN193" s="19">
        <v>21</v>
      </c>
      <c r="AO193" s="19">
        <f>H193*0.39949083503055</f>
        <v>0</v>
      </c>
      <c r="AP193" s="19">
        <f>H193*(1-0.39949083503055)</f>
        <v>0</v>
      </c>
      <c r="AQ193" s="3" t="s">
        <v>575</v>
      </c>
      <c r="AV193" s="19">
        <f>AW193+AX193</f>
        <v>0</v>
      </c>
      <c r="AW193" s="19">
        <f>G193*AO193</f>
        <v>0</v>
      </c>
      <c r="AX193" s="19">
        <f>G193*AP193</f>
        <v>0</v>
      </c>
      <c r="AY193" s="3" t="s">
        <v>131</v>
      </c>
      <c r="AZ193" s="3" t="s">
        <v>469</v>
      </c>
      <c r="BA193" s="51" t="s">
        <v>432</v>
      </c>
      <c r="BC193" s="19">
        <f>AW193+AX193</f>
        <v>0</v>
      </c>
      <c r="BD193" s="19">
        <f>H193/(100-BE193)*100</f>
        <v>0</v>
      </c>
      <c r="BE193" s="19">
        <v>0</v>
      </c>
      <c r="BF193" s="19">
        <f>M193</f>
        <v>0.018000000000000002</v>
      </c>
      <c r="BH193" s="19">
        <f>G193*AO193</f>
        <v>0</v>
      </c>
      <c r="BI193" s="19">
        <f>G193*AP193</f>
        <v>0</v>
      </c>
      <c r="BJ193" s="19">
        <f>G193*H193</f>
        <v>0</v>
      </c>
      <c r="BK193" s="19"/>
      <c r="BL193" s="19">
        <v>783</v>
      </c>
    </row>
    <row r="194" spans="1:47" ht="15" customHeight="1">
      <c r="A194" s="61" t="s">
        <v>392</v>
      </c>
      <c r="B194" s="36" t="s">
        <v>294</v>
      </c>
      <c r="C194" s="36" t="s">
        <v>611</v>
      </c>
      <c r="D194" s="68" t="s">
        <v>186</v>
      </c>
      <c r="E194" s="68"/>
      <c r="F194" s="1" t="s">
        <v>525</v>
      </c>
      <c r="G194" s="1" t="s">
        <v>525</v>
      </c>
      <c r="H194" s="1" t="s">
        <v>525</v>
      </c>
      <c r="I194" s="33">
        <f>SUM(I195:I195)</f>
        <v>0</v>
      </c>
      <c r="J194" s="33">
        <f>SUM(J195:J195)</f>
        <v>0</v>
      </c>
      <c r="K194" s="33">
        <f>SUM(K195:K195)</f>
        <v>0</v>
      </c>
      <c r="L194" s="51" t="s">
        <v>392</v>
      </c>
      <c r="M194" s="33">
        <f>SUM(M195:M195)</f>
        <v>0</v>
      </c>
      <c r="N194" s="58" t="s">
        <v>392</v>
      </c>
      <c r="AI194" s="51" t="s">
        <v>294</v>
      </c>
      <c r="AS194" s="33">
        <f>SUM(AJ195:AJ195)</f>
        <v>0</v>
      </c>
      <c r="AT194" s="33">
        <f>SUM(AK195:AK195)</f>
        <v>0</v>
      </c>
      <c r="AU194" s="33">
        <f>SUM(AL195:AL195)</f>
        <v>0</v>
      </c>
    </row>
    <row r="195" spans="1:64" ht="15" customHeight="1">
      <c r="A195" s="26" t="s">
        <v>133</v>
      </c>
      <c r="B195" s="21" t="s">
        <v>294</v>
      </c>
      <c r="C195" s="21" t="s">
        <v>171</v>
      </c>
      <c r="D195" s="64" t="s">
        <v>646</v>
      </c>
      <c r="E195" s="64"/>
      <c r="F195" s="21" t="s">
        <v>253</v>
      </c>
      <c r="G195" s="19">
        <v>8</v>
      </c>
      <c r="H195" s="19">
        <v>0</v>
      </c>
      <c r="I195" s="19">
        <f>G195*AO195</f>
        <v>0</v>
      </c>
      <c r="J195" s="19">
        <f>G195*AP195</f>
        <v>0</v>
      </c>
      <c r="K195" s="19">
        <f>G195*H195</f>
        <v>0</v>
      </c>
      <c r="L195" s="19">
        <v>0</v>
      </c>
      <c r="M195" s="19">
        <f>G195*L195</f>
        <v>0</v>
      </c>
      <c r="N195" s="41" t="s">
        <v>476</v>
      </c>
      <c r="Z195" s="19">
        <f>IF(AQ195="5",BJ195,0)</f>
        <v>0</v>
      </c>
      <c r="AB195" s="19">
        <f>IF(AQ195="1",BH195,0)</f>
        <v>0</v>
      </c>
      <c r="AC195" s="19">
        <f>IF(AQ195="1",BI195,0)</f>
        <v>0</v>
      </c>
      <c r="AD195" s="19">
        <f>IF(AQ195="7",BH195,0)</f>
        <v>0</v>
      </c>
      <c r="AE195" s="19">
        <f>IF(AQ195="7",BI195,0)</f>
        <v>0</v>
      </c>
      <c r="AF195" s="19">
        <f>IF(AQ195="2",BH195,0)</f>
        <v>0</v>
      </c>
      <c r="AG195" s="19">
        <f>IF(AQ195="2",BI195,0)</f>
        <v>0</v>
      </c>
      <c r="AH195" s="19">
        <f>IF(AQ195="0",BJ195,0)</f>
        <v>0</v>
      </c>
      <c r="AI195" s="51" t="s">
        <v>294</v>
      </c>
      <c r="AJ195" s="19">
        <f>IF(AN195=0,K195,0)</f>
        <v>0</v>
      </c>
      <c r="AK195" s="19">
        <f>IF(AN195=15,K195,0)</f>
        <v>0</v>
      </c>
      <c r="AL195" s="19">
        <f>IF(AN195=21,K195,0)</f>
        <v>0</v>
      </c>
      <c r="AN195" s="19">
        <v>21</v>
      </c>
      <c r="AO195" s="19">
        <f>H195*0</f>
        <v>0</v>
      </c>
      <c r="AP195" s="19">
        <f>H195*(1-0)</f>
        <v>0</v>
      </c>
      <c r="AQ195" s="3" t="s">
        <v>570</v>
      </c>
      <c r="AV195" s="19">
        <f>AW195+AX195</f>
        <v>0</v>
      </c>
      <c r="AW195" s="19">
        <f>G195*AO195</f>
        <v>0</v>
      </c>
      <c r="AX195" s="19">
        <f>G195*AP195</f>
        <v>0</v>
      </c>
      <c r="AY195" s="3" t="s">
        <v>160</v>
      </c>
      <c r="AZ195" s="3" t="s">
        <v>600</v>
      </c>
      <c r="BA195" s="51" t="s">
        <v>432</v>
      </c>
      <c r="BC195" s="19">
        <f>AW195+AX195</f>
        <v>0</v>
      </c>
      <c r="BD195" s="19">
        <f>H195/(100-BE195)*100</f>
        <v>0</v>
      </c>
      <c r="BE195" s="19">
        <v>0</v>
      </c>
      <c r="BF195" s="19">
        <f>M195</f>
        <v>0</v>
      </c>
      <c r="BH195" s="19">
        <f>G195*AO195</f>
        <v>0</v>
      </c>
      <c r="BI195" s="19">
        <f>G195*AP195</f>
        <v>0</v>
      </c>
      <c r="BJ195" s="19">
        <f>G195*H195</f>
        <v>0</v>
      </c>
      <c r="BK195" s="19"/>
      <c r="BL195" s="19">
        <v>90</v>
      </c>
    </row>
    <row r="196" spans="1:47" ht="15" customHeight="1">
      <c r="A196" s="61" t="s">
        <v>392</v>
      </c>
      <c r="B196" s="36" t="s">
        <v>294</v>
      </c>
      <c r="C196" s="36" t="s">
        <v>66</v>
      </c>
      <c r="D196" s="68" t="s">
        <v>400</v>
      </c>
      <c r="E196" s="68"/>
      <c r="F196" s="1" t="s">
        <v>525</v>
      </c>
      <c r="G196" s="1" t="s">
        <v>525</v>
      </c>
      <c r="H196" s="1" t="s">
        <v>525</v>
      </c>
      <c r="I196" s="33">
        <f>SUM(I197:I197)</f>
        <v>0</v>
      </c>
      <c r="J196" s="33">
        <f>SUM(J197:J197)</f>
        <v>0</v>
      </c>
      <c r="K196" s="33">
        <f>SUM(K197:K197)</f>
        <v>0</v>
      </c>
      <c r="L196" s="51" t="s">
        <v>392</v>
      </c>
      <c r="M196" s="33">
        <f>SUM(M197:M197)</f>
        <v>0.2368</v>
      </c>
      <c r="N196" s="58" t="s">
        <v>392</v>
      </c>
      <c r="AI196" s="51" t="s">
        <v>294</v>
      </c>
      <c r="AS196" s="33">
        <f>SUM(AJ197:AJ197)</f>
        <v>0</v>
      </c>
      <c r="AT196" s="33">
        <f>SUM(AK197:AK197)</f>
        <v>0</v>
      </c>
      <c r="AU196" s="33">
        <f>SUM(AL197:AL197)</f>
        <v>0</v>
      </c>
    </row>
    <row r="197" spans="1:64" ht="15" customHeight="1">
      <c r="A197" s="26" t="s">
        <v>609</v>
      </c>
      <c r="B197" s="21" t="s">
        <v>294</v>
      </c>
      <c r="C197" s="21" t="s">
        <v>325</v>
      </c>
      <c r="D197" s="64" t="s">
        <v>155</v>
      </c>
      <c r="E197" s="64"/>
      <c r="F197" s="21" t="s">
        <v>564</v>
      </c>
      <c r="G197" s="19">
        <v>40</v>
      </c>
      <c r="H197" s="19">
        <v>0</v>
      </c>
      <c r="I197" s="19">
        <f>G197*AO197</f>
        <v>0</v>
      </c>
      <c r="J197" s="19">
        <f>G197*AP197</f>
        <v>0</v>
      </c>
      <c r="K197" s="19">
        <f>G197*H197</f>
        <v>0</v>
      </c>
      <c r="L197" s="19">
        <v>0.00592</v>
      </c>
      <c r="M197" s="19">
        <f>G197*L197</f>
        <v>0.2368</v>
      </c>
      <c r="N197" s="41" t="s">
        <v>476</v>
      </c>
      <c r="Z197" s="19">
        <f>IF(AQ197="5",BJ197,0)</f>
        <v>0</v>
      </c>
      <c r="AB197" s="19">
        <f>IF(AQ197="1",BH197,0)</f>
        <v>0</v>
      </c>
      <c r="AC197" s="19">
        <f>IF(AQ197="1",BI197,0)</f>
        <v>0</v>
      </c>
      <c r="AD197" s="19">
        <f>IF(AQ197="7",BH197,0)</f>
        <v>0</v>
      </c>
      <c r="AE197" s="19">
        <f>IF(AQ197="7",BI197,0)</f>
        <v>0</v>
      </c>
      <c r="AF197" s="19">
        <f>IF(AQ197="2",BH197,0)</f>
        <v>0</v>
      </c>
      <c r="AG197" s="19">
        <f>IF(AQ197="2",BI197,0)</f>
        <v>0</v>
      </c>
      <c r="AH197" s="19">
        <f>IF(AQ197="0",BJ197,0)</f>
        <v>0</v>
      </c>
      <c r="AI197" s="51" t="s">
        <v>294</v>
      </c>
      <c r="AJ197" s="19">
        <f>IF(AN197=0,K197,0)</f>
        <v>0</v>
      </c>
      <c r="AK197" s="19">
        <f>IF(AN197=15,K197,0)</f>
        <v>0</v>
      </c>
      <c r="AL197" s="19">
        <f>IF(AN197=21,K197,0)</f>
        <v>0</v>
      </c>
      <c r="AN197" s="19">
        <v>21</v>
      </c>
      <c r="AO197" s="19">
        <f>H197*0.423384969545825</f>
        <v>0</v>
      </c>
      <c r="AP197" s="19">
        <f>H197*(1-0.423384969545825)</f>
        <v>0</v>
      </c>
      <c r="AQ197" s="3" t="s">
        <v>570</v>
      </c>
      <c r="AV197" s="19">
        <f>AW197+AX197</f>
        <v>0</v>
      </c>
      <c r="AW197" s="19">
        <f>G197*AO197</f>
        <v>0</v>
      </c>
      <c r="AX197" s="19">
        <f>G197*AP197</f>
        <v>0</v>
      </c>
      <c r="AY197" s="3" t="s">
        <v>632</v>
      </c>
      <c r="AZ197" s="3" t="s">
        <v>600</v>
      </c>
      <c r="BA197" s="51" t="s">
        <v>432</v>
      </c>
      <c r="BC197" s="19">
        <f>AW197+AX197</f>
        <v>0</v>
      </c>
      <c r="BD197" s="19">
        <f>H197/(100-BE197)*100</f>
        <v>0</v>
      </c>
      <c r="BE197" s="19">
        <v>0</v>
      </c>
      <c r="BF197" s="19">
        <f>M197</f>
        <v>0.2368</v>
      </c>
      <c r="BH197" s="19">
        <f>G197*AO197</f>
        <v>0</v>
      </c>
      <c r="BI197" s="19">
        <f>G197*AP197</f>
        <v>0</v>
      </c>
      <c r="BJ197" s="19">
        <f>G197*H197</f>
        <v>0</v>
      </c>
      <c r="BK197" s="19"/>
      <c r="BL197" s="19">
        <v>94</v>
      </c>
    </row>
    <row r="198" spans="1:47" ht="15" customHeight="1">
      <c r="A198" s="61" t="s">
        <v>392</v>
      </c>
      <c r="B198" s="36" t="s">
        <v>294</v>
      </c>
      <c r="C198" s="36" t="s">
        <v>643</v>
      </c>
      <c r="D198" s="68" t="s">
        <v>12</v>
      </c>
      <c r="E198" s="68"/>
      <c r="F198" s="1" t="s">
        <v>525</v>
      </c>
      <c r="G198" s="1" t="s">
        <v>525</v>
      </c>
      <c r="H198" s="1" t="s">
        <v>525</v>
      </c>
      <c r="I198" s="33">
        <f>SUM(I199:I199)</f>
        <v>0</v>
      </c>
      <c r="J198" s="33">
        <f>SUM(J199:J199)</f>
        <v>0</v>
      </c>
      <c r="K198" s="33">
        <f>SUM(K199:K199)</f>
        <v>0</v>
      </c>
      <c r="L198" s="51" t="s">
        <v>392</v>
      </c>
      <c r="M198" s="33">
        <f>SUM(M199:M199)</f>
        <v>0</v>
      </c>
      <c r="N198" s="58" t="s">
        <v>392</v>
      </c>
      <c r="AI198" s="51" t="s">
        <v>294</v>
      </c>
      <c r="AS198" s="33">
        <f>SUM(AJ199:AJ199)</f>
        <v>0</v>
      </c>
      <c r="AT198" s="33">
        <f>SUM(AK199:AK199)</f>
        <v>0</v>
      </c>
      <c r="AU198" s="33">
        <f>SUM(AL199:AL199)</f>
        <v>0</v>
      </c>
    </row>
    <row r="199" spans="1:64" ht="15" customHeight="1">
      <c r="A199" s="26" t="s">
        <v>231</v>
      </c>
      <c r="B199" s="21" t="s">
        <v>294</v>
      </c>
      <c r="C199" s="21" t="s">
        <v>123</v>
      </c>
      <c r="D199" s="64" t="s">
        <v>15</v>
      </c>
      <c r="E199" s="64"/>
      <c r="F199" s="21" t="s">
        <v>442</v>
      </c>
      <c r="G199" s="19">
        <v>1</v>
      </c>
      <c r="H199" s="19">
        <v>0</v>
      </c>
      <c r="I199" s="19">
        <f>G199*AO199</f>
        <v>0</v>
      </c>
      <c r="J199" s="19">
        <f>G199*AP199</f>
        <v>0</v>
      </c>
      <c r="K199" s="19">
        <f>G199*H199</f>
        <v>0</v>
      </c>
      <c r="L199" s="19">
        <v>0</v>
      </c>
      <c r="M199" s="19">
        <f>G199*L199</f>
        <v>0</v>
      </c>
      <c r="N199" s="41" t="s">
        <v>476</v>
      </c>
      <c r="Z199" s="19">
        <f>IF(AQ199="5",BJ199,0)</f>
        <v>0</v>
      </c>
      <c r="AB199" s="19">
        <f>IF(AQ199="1",BH199,0)</f>
        <v>0</v>
      </c>
      <c r="AC199" s="19">
        <f>IF(AQ199="1",BI199,0)</f>
        <v>0</v>
      </c>
      <c r="AD199" s="19">
        <f>IF(AQ199="7",BH199,0)</f>
        <v>0</v>
      </c>
      <c r="AE199" s="19">
        <f>IF(AQ199="7",BI199,0)</f>
        <v>0</v>
      </c>
      <c r="AF199" s="19">
        <f>IF(AQ199="2",BH199,0)</f>
        <v>0</v>
      </c>
      <c r="AG199" s="19">
        <f>IF(AQ199="2",BI199,0)</f>
        <v>0</v>
      </c>
      <c r="AH199" s="19">
        <f>IF(AQ199="0",BJ199,0)</f>
        <v>0</v>
      </c>
      <c r="AI199" s="51" t="s">
        <v>294</v>
      </c>
      <c r="AJ199" s="19">
        <f>IF(AN199=0,K199,0)</f>
        <v>0</v>
      </c>
      <c r="AK199" s="19">
        <f>IF(AN199=15,K199,0)</f>
        <v>0</v>
      </c>
      <c r="AL199" s="19">
        <f>IF(AN199=21,K199,0)</f>
        <v>0</v>
      </c>
      <c r="AN199" s="19">
        <v>21</v>
      </c>
      <c r="AO199" s="19">
        <f>H199*0.3125</f>
        <v>0</v>
      </c>
      <c r="AP199" s="19">
        <f>H199*(1-0.3125)</f>
        <v>0</v>
      </c>
      <c r="AQ199" s="3" t="s">
        <v>570</v>
      </c>
      <c r="AV199" s="19">
        <f>AW199+AX199</f>
        <v>0</v>
      </c>
      <c r="AW199" s="19">
        <f>G199*AO199</f>
        <v>0</v>
      </c>
      <c r="AX199" s="19">
        <f>G199*AP199</f>
        <v>0</v>
      </c>
      <c r="AY199" s="3" t="s">
        <v>329</v>
      </c>
      <c r="AZ199" s="3" t="s">
        <v>600</v>
      </c>
      <c r="BA199" s="51" t="s">
        <v>432</v>
      </c>
      <c r="BC199" s="19">
        <f>AW199+AX199</f>
        <v>0</v>
      </c>
      <c r="BD199" s="19">
        <f>H199/(100-BE199)*100</f>
        <v>0</v>
      </c>
      <c r="BE199" s="19">
        <v>0</v>
      </c>
      <c r="BF199" s="19">
        <f>M199</f>
        <v>0</v>
      </c>
      <c r="BH199" s="19">
        <f>G199*AO199</f>
        <v>0</v>
      </c>
      <c r="BI199" s="19">
        <f>G199*AP199</f>
        <v>0</v>
      </c>
      <c r="BJ199" s="19">
        <f>G199*H199</f>
        <v>0</v>
      </c>
      <c r="BK199" s="19"/>
      <c r="BL199" s="19">
        <v>952</v>
      </c>
    </row>
    <row r="200" spans="1:47" ht="15" customHeight="1">
      <c r="A200" s="61" t="s">
        <v>392</v>
      </c>
      <c r="B200" s="36" t="s">
        <v>294</v>
      </c>
      <c r="C200" s="36" t="s">
        <v>59</v>
      </c>
      <c r="D200" s="68" t="s">
        <v>372</v>
      </c>
      <c r="E200" s="68"/>
      <c r="F200" s="1" t="s">
        <v>525</v>
      </c>
      <c r="G200" s="1" t="s">
        <v>525</v>
      </c>
      <c r="H200" s="1" t="s">
        <v>525</v>
      </c>
      <c r="I200" s="33">
        <f>SUM(I201:I201)</f>
        <v>0</v>
      </c>
      <c r="J200" s="33">
        <f>SUM(J201:J201)</f>
        <v>0</v>
      </c>
      <c r="K200" s="33">
        <f>SUM(K201:K201)</f>
        <v>0</v>
      </c>
      <c r="L200" s="51" t="s">
        <v>392</v>
      </c>
      <c r="M200" s="33">
        <f>SUM(M201:M201)</f>
        <v>0</v>
      </c>
      <c r="N200" s="58" t="s">
        <v>392</v>
      </c>
      <c r="AI200" s="51" t="s">
        <v>294</v>
      </c>
      <c r="AS200" s="33">
        <f>SUM(AJ201:AJ201)</f>
        <v>0</v>
      </c>
      <c r="AT200" s="33">
        <f>SUM(AK201:AK201)</f>
        <v>0</v>
      </c>
      <c r="AU200" s="33">
        <f>SUM(AL201:AL201)</f>
        <v>0</v>
      </c>
    </row>
    <row r="201" spans="1:64" ht="15" customHeight="1">
      <c r="A201" s="26" t="s">
        <v>520</v>
      </c>
      <c r="B201" s="21" t="s">
        <v>294</v>
      </c>
      <c r="C201" s="21" t="s">
        <v>579</v>
      </c>
      <c r="D201" s="64" t="s">
        <v>435</v>
      </c>
      <c r="E201" s="64"/>
      <c r="F201" s="21" t="s">
        <v>501</v>
      </c>
      <c r="G201" s="19">
        <v>0</v>
      </c>
      <c r="H201" s="19">
        <v>0.47</v>
      </c>
      <c r="I201" s="19">
        <f>G201*AO201</f>
        <v>0</v>
      </c>
      <c r="J201" s="19">
        <f>G201*AP201</f>
        <v>0</v>
      </c>
      <c r="K201" s="19">
        <f>G201*H201</f>
        <v>0</v>
      </c>
      <c r="L201" s="19">
        <v>0</v>
      </c>
      <c r="M201" s="19">
        <f>G201*L201</f>
        <v>0</v>
      </c>
      <c r="N201" s="41" t="s">
        <v>476</v>
      </c>
      <c r="Z201" s="19">
        <f>IF(AQ201="5",BJ201,0)</f>
        <v>0</v>
      </c>
      <c r="AB201" s="19">
        <f>IF(AQ201="1",BH201,0)</f>
        <v>0</v>
      </c>
      <c r="AC201" s="19">
        <f>IF(AQ201="1",BI201,0)</f>
        <v>0</v>
      </c>
      <c r="AD201" s="19">
        <f>IF(AQ201="7",BH201,0)</f>
        <v>0</v>
      </c>
      <c r="AE201" s="19">
        <f>IF(AQ201="7",BI201,0)</f>
        <v>0</v>
      </c>
      <c r="AF201" s="19">
        <f>IF(AQ201="2",BH201,0)</f>
        <v>0</v>
      </c>
      <c r="AG201" s="19">
        <f>IF(AQ201="2",BI201,0)</f>
        <v>0</v>
      </c>
      <c r="AH201" s="19">
        <f>IF(AQ201="0",BJ201,0)</f>
        <v>0</v>
      </c>
      <c r="AI201" s="51" t="s">
        <v>294</v>
      </c>
      <c r="AJ201" s="19">
        <f>IF(AN201=0,K201,0)</f>
        <v>0</v>
      </c>
      <c r="AK201" s="19">
        <f>IF(AN201=15,K201,0)</f>
        <v>0</v>
      </c>
      <c r="AL201" s="19">
        <f>IF(AN201=21,K201,0)</f>
        <v>0</v>
      </c>
      <c r="AN201" s="19">
        <v>21</v>
      </c>
      <c r="AO201" s="19">
        <f>H201*0</f>
        <v>0</v>
      </c>
      <c r="AP201" s="19">
        <f>H201*(1-0)</f>
        <v>0.47</v>
      </c>
      <c r="AQ201" s="3" t="s">
        <v>304</v>
      </c>
      <c r="AV201" s="19">
        <f>AW201+AX201</f>
        <v>0</v>
      </c>
      <c r="AW201" s="19">
        <f>G201*AO201</f>
        <v>0</v>
      </c>
      <c r="AX201" s="19">
        <f>G201*AP201</f>
        <v>0</v>
      </c>
      <c r="AY201" s="3" t="s">
        <v>530</v>
      </c>
      <c r="AZ201" s="3" t="s">
        <v>600</v>
      </c>
      <c r="BA201" s="51" t="s">
        <v>432</v>
      </c>
      <c r="BC201" s="19">
        <f>AW201+AX201</f>
        <v>0</v>
      </c>
      <c r="BD201" s="19">
        <f>H201/(100-BE201)*100</f>
        <v>0.4699999999999999</v>
      </c>
      <c r="BE201" s="19">
        <v>0</v>
      </c>
      <c r="BF201" s="19">
        <f>M201</f>
        <v>0</v>
      </c>
      <c r="BH201" s="19">
        <f>G201*AO201</f>
        <v>0</v>
      </c>
      <c r="BI201" s="19">
        <f>G201*AP201</f>
        <v>0</v>
      </c>
      <c r="BJ201" s="19">
        <f>G201*H201</f>
        <v>0</v>
      </c>
      <c r="BK201" s="19"/>
      <c r="BL201" s="19"/>
    </row>
    <row r="202" spans="1:47" ht="15" customHeight="1">
      <c r="A202" s="61" t="s">
        <v>392</v>
      </c>
      <c r="B202" s="36" t="s">
        <v>294</v>
      </c>
      <c r="C202" s="36" t="s">
        <v>392</v>
      </c>
      <c r="D202" s="68" t="s">
        <v>37</v>
      </c>
      <c r="E202" s="68"/>
      <c r="F202" s="1" t="s">
        <v>525</v>
      </c>
      <c r="G202" s="1" t="s">
        <v>525</v>
      </c>
      <c r="H202" s="1" t="s">
        <v>525</v>
      </c>
      <c r="I202" s="33">
        <f>SUM(I203:I208)</f>
        <v>0</v>
      </c>
      <c r="J202" s="33">
        <f>SUM(J203:J208)</f>
        <v>0</v>
      </c>
      <c r="K202" s="33">
        <f>SUM(K203:K208)</f>
        <v>0</v>
      </c>
      <c r="L202" s="51" t="s">
        <v>392</v>
      </c>
      <c r="M202" s="33">
        <f>SUM(M203:M208)</f>
        <v>0</v>
      </c>
      <c r="N202" s="58" t="s">
        <v>392</v>
      </c>
      <c r="AI202" s="51" t="s">
        <v>294</v>
      </c>
      <c r="AS202" s="33">
        <f>SUM(AJ203:AJ208)</f>
        <v>0</v>
      </c>
      <c r="AT202" s="33">
        <f>SUM(AK203:AK208)</f>
        <v>0</v>
      </c>
      <c r="AU202" s="33">
        <f>SUM(AL203:AL208)</f>
        <v>0</v>
      </c>
    </row>
    <row r="203" spans="1:64" ht="15" customHeight="1">
      <c r="A203" s="26" t="s">
        <v>419</v>
      </c>
      <c r="B203" s="21" t="s">
        <v>294</v>
      </c>
      <c r="C203" s="21" t="s">
        <v>352</v>
      </c>
      <c r="D203" s="64" t="s">
        <v>343</v>
      </c>
      <c r="E203" s="64"/>
      <c r="F203" s="21" t="s">
        <v>442</v>
      </c>
      <c r="G203" s="19">
        <v>1</v>
      </c>
      <c r="H203" s="19">
        <v>0</v>
      </c>
      <c r="I203" s="19">
        <f aca="true" t="shared" si="244" ref="I203:I208">G203*AO203</f>
        <v>0</v>
      </c>
      <c r="J203" s="19">
        <f aca="true" t="shared" si="245" ref="J203:J208">G203*AP203</f>
        <v>0</v>
      </c>
      <c r="K203" s="19">
        <f aca="true" t="shared" si="246" ref="K203:K208">G203*H203</f>
        <v>0</v>
      </c>
      <c r="L203" s="19">
        <v>0</v>
      </c>
      <c r="M203" s="19">
        <f aca="true" t="shared" si="247" ref="M203:M208">G203*L203</f>
        <v>0</v>
      </c>
      <c r="N203" s="41" t="s">
        <v>476</v>
      </c>
      <c r="Z203" s="19">
        <f aca="true" t="shared" si="248" ref="Z203:Z208">IF(AQ203="5",BJ203,0)</f>
        <v>0</v>
      </c>
      <c r="AB203" s="19">
        <f aca="true" t="shared" si="249" ref="AB203:AB208">IF(AQ203="1",BH203,0)</f>
        <v>0</v>
      </c>
      <c r="AC203" s="19">
        <f aca="true" t="shared" si="250" ref="AC203:AC208">IF(AQ203="1",BI203,0)</f>
        <v>0</v>
      </c>
      <c r="AD203" s="19">
        <f aca="true" t="shared" si="251" ref="AD203:AD208">IF(AQ203="7",BH203,0)</f>
        <v>0</v>
      </c>
      <c r="AE203" s="19">
        <f aca="true" t="shared" si="252" ref="AE203:AE208">IF(AQ203="7",BI203,0)</f>
        <v>0</v>
      </c>
      <c r="AF203" s="19">
        <f aca="true" t="shared" si="253" ref="AF203:AF208">IF(AQ203="2",BH203,0)</f>
        <v>0</v>
      </c>
      <c r="AG203" s="19">
        <f aca="true" t="shared" si="254" ref="AG203:AG208">IF(AQ203="2",BI203,0)</f>
        <v>0</v>
      </c>
      <c r="AH203" s="19">
        <f aca="true" t="shared" si="255" ref="AH203:AH208">IF(AQ203="0",BJ203,0)</f>
        <v>0</v>
      </c>
      <c r="AI203" s="51" t="s">
        <v>294</v>
      </c>
      <c r="AJ203" s="19">
        <f aca="true" t="shared" si="256" ref="AJ203:AJ208">IF(AN203=0,K203,0)</f>
        <v>0</v>
      </c>
      <c r="AK203" s="19">
        <f aca="true" t="shared" si="257" ref="AK203:AK208">IF(AN203=15,K203,0)</f>
        <v>0</v>
      </c>
      <c r="AL203" s="19">
        <f aca="true" t="shared" si="258" ref="AL203:AL208">IF(AN203=21,K203,0)</f>
        <v>0</v>
      </c>
      <c r="AN203" s="19">
        <v>21</v>
      </c>
      <c r="AO203" s="19">
        <f aca="true" t="shared" si="259" ref="AO203:AO208">H203*1</f>
        <v>0</v>
      </c>
      <c r="AP203" s="19">
        <f aca="true" t="shared" si="260" ref="AP203:AP208">H203*(1-1)</f>
        <v>0</v>
      </c>
      <c r="AQ203" s="3" t="s">
        <v>300</v>
      </c>
      <c r="AV203" s="19">
        <f aca="true" t="shared" si="261" ref="AV203:AV208">AW203+AX203</f>
        <v>0</v>
      </c>
      <c r="AW203" s="19">
        <f aca="true" t="shared" si="262" ref="AW203:AW208">G203*AO203</f>
        <v>0</v>
      </c>
      <c r="AX203" s="19">
        <f aca="true" t="shared" si="263" ref="AX203:AX208">G203*AP203</f>
        <v>0</v>
      </c>
      <c r="AY203" s="3" t="s">
        <v>121</v>
      </c>
      <c r="AZ203" s="3" t="s">
        <v>496</v>
      </c>
      <c r="BA203" s="51" t="s">
        <v>432</v>
      </c>
      <c r="BC203" s="19">
        <f aca="true" t="shared" si="264" ref="BC203:BC208">AW203+AX203</f>
        <v>0</v>
      </c>
      <c r="BD203" s="19">
        <f aca="true" t="shared" si="265" ref="BD203:BD208">H203/(100-BE203)*100</f>
        <v>0</v>
      </c>
      <c r="BE203" s="19">
        <v>0</v>
      </c>
      <c r="BF203" s="19">
        <f aca="true" t="shared" si="266" ref="BF203:BF208">M203</f>
        <v>0</v>
      </c>
      <c r="BH203" s="19">
        <f aca="true" t="shared" si="267" ref="BH203:BH208">G203*AO203</f>
        <v>0</v>
      </c>
      <c r="BI203" s="19">
        <f aca="true" t="shared" si="268" ref="BI203:BI208">G203*AP203</f>
        <v>0</v>
      </c>
      <c r="BJ203" s="19">
        <f aca="true" t="shared" si="269" ref="BJ203:BJ208">G203*H203</f>
        <v>0</v>
      </c>
      <c r="BK203" s="19"/>
      <c r="BL203" s="19"/>
    </row>
    <row r="204" spans="1:64" ht="15" customHeight="1">
      <c r="A204" s="26" t="s">
        <v>532</v>
      </c>
      <c r="B204" s="21" t="s">
        <v>294</v>
      </c>
      <c r="C204" s="21" t="s">
        <v>94</v>
      </c>
      <c r="D204" s="64" t="s">
        <v>43</v>
      </c>
      <c r="E204" s="64"/>
      <c r="F204" s="21" t="s">
        <v>442</v>
      </c>
      <c r="G204" s="19">
        <v>1</v>
      </c>
      <c r="H204" s="19">
        <v>0</v>
      </c>
      <c r="I204" s="19">
        <f t="shared" si="244"/>
        <v>0</v>
      </c>
      <c r="J204" s="19">
        <f t="shared" si="245"/>
        <v>0</v>
      </c>
      <c r="K204" s="19">
        <f t="shared" si="246"/>
        <v>0</v>
      </c>
      <c r="L204" s="19">
        <v>0</v>
      </c>
      <c r="M204" s="19">
        <f t="shared" si="247"/>
        <v>0</v>
      </c>
      <c r="N204" s="41" t="s">
        <v>476</v>
      </c>
      <c r="Z204" s="19">
        <f t="shared" si="248"/>
        <v>0</v>
      </c>
      <c r="AB204" s="19">
        <f t="shared" si="249"/>
        <v>0</v>
      </c>
      <c r="AC204" s="19">
        <f t="shared" si="250"/>
        <v>0</v>
      </c>
      <c r="AD204" s="19">
        <f t="shared" si="251"/>
        <v>0</v>
      </c>
      <c r="AE204" s="19">
        <f t="shared" si="252"/>
        <v>0</v>
      </c>
      <c r="AF204" s="19">
        <f t="shared" si="253"/>
        <v>0</v>
      </c>
      <c r="AG204" s="19">
        <f t="shared" si="254"/>
        <v>0</v>
      </c>
      <c r="AH204" s="19">
        <f t="shared" si="255"/>
        <v>0</v>
      </c>
      <c r="AI204" s="51" t="s">
        <v>294</v>
      </c>
      <c r="AJ204" s="19">
        <f t="shared" si="256"/>
        <v>0</v>
      </c>
      <c r="AK204" s="19">
        <f t="shared" si="257"/>
        <v>0</v>
      </c>
      <c r="AL204" s="19">
        <f t="shared" si="258"/>
        <v>0</v>
      </c>
      <c r="AN204" s="19">
        <v>21</v>
      </c>
      <c r="AO204" s="19">
        <f t="shared" si="259"/>
        <v>0</v>
      </c>
      <c r="AP204" s="19">
        <f t="shared" si="260"/>
        <v>0</v>
      </c>
      <c r="AQ204" s="3" t="s">
        <v>300</v>
      </c>
      <c r="AV204" s="19">
        <f t="shared" si="261"/>
        <v>0</v>
      </c>
      <c r="AW204" s="19">
        <f t="shared" si="262"/>
        <v>0</v>
      </c>
      <c r="AX204" s="19">
        <f t="shared" si="263"/>
        <v>0</v>
      </c>
      <c r="AY204" s="3" t="s">
        <v>121</v>
      </c>
      <c r="AZ204" s="3" t="s">
        <v>496</v>
      </c>
      <c r="BA204" s="51" t="s">
        <v>432</v>
      </c>
      <c r="BC204" s="19">
        <f t="shared" si="264"/>
        <v>0</v>
      </c>
      <c r="BD204" s="19">
        <f t="shared" si="265"/>
        <v>0</v>
      </c>
      <c r="BE204" s="19">
        <v>0</v>
      </c>
      <c r="BF204" s="19">
        <f t="shared" si="266"/>
        <v>0</v>
      </c>
      <c r="BH204" s="19">
        <f t="shared" si="267"/>
        <v>0</v>
      </c>
      <c r="BI204" s="19">
        <f t="shared" si="268"/>
        <v>0</v>
      </c>
      <c r="BJ204" s="19">
        <f t="shared" si="269"/>
        <v>0</v>
      </c>
      <c r="BK204" s="19"/>
      <c r="BL204" s="19"/>
    </row>
    <row r="205" spans="1:64" ht="15" customHeight="1">
      <c r="A205" s="26" t="s">
        <v>102</v>
      </c>
      <c r="B205" s="21" t="s">
        <v>294</v>
      </c>
      <c r="C205" s="21" t="s">
        <v>580</v>
      </c>
      <c r="D205" s="64" t="s">
        <v>200</v>
      </c>
      <c r="E205" s="64"/>
      <c r="F205" s="21" t="s">
        <v>442</v>
      </c>
      <c r="G205" s="19">
        <v>1</v>
      </c>
      <c r="H205" s="19">
        <v>0</v>
      </c>
      <c r="I205" s="19">
        <f t="shared" si="244"/>
        <v>0</v>
      </c>
      <c r="J205" s="19">
        <f t="shared" si="245"/>
        <v>0</v>
      </c>
      <c r="K205" s="19">
        <f t="shared" si="246"/>
        <v>0</v>
      </c>
      <c r="L205" s="19">
        <v>0</v>
      </c>
      <c r="M205" s="19">
        <f t="shared" si="247"/>
        <v>0</v>
      </c>
      <c r="N205" s="41" t="s">
        <v>476</v>
      </c>
      <c r="Z205" s="19">
        <f t="shared" si="248"/>
        <v>0</v>
      </c>
      <c r="AB205" s="19">
        <f t="shared" si="249"/>
        <v>0</v>
      </c>
      <c r="AC205" s="19">
        <f t="shared" si="250"/>
        <v>0</v>
      </c>
      <c r="AD205" s="19">
        <f t="shared" si="251"/>
        <v>0</v>
      </c>
      <c r="AE205" s="19">
        <f t="shared" si="252"/>
        <v>0</v>
      </c>
      <c r="AF205" s="19">
        <f t="shared" si="253"/>
        <v>0</v>
      </c>
      <c r="AG205" s="19">
        <f t="shared" si="254"/>
        <v>0</v>
      </c>
      <c r="AH205" s="19">
        <f t="shared" si="255"/>
        <v>0</v>
      </c>
      <c r="AI205" s="51" t="s">
        <v>294</v>
      </c>
      <c r="AJ205" s="19">
        <f t="shared" si="256"/>
        <v>0</v>
      </c>
      <c r="AK205" s="19">
        <f t="shared" si="257"/>
        <v>0</v>
      </c>
      <c r="AL205" s="19">
        <f t="shared" si="258"/>
        <v>0</v>
      </c>
      <c r="AN205" s="19">
        <v>21</v>
      </c>
      <c r="AO205" s="19">
        <f t="shared" si="259"/>
        <v>0</v>
      </c>
      <c r="AP205" s="19">
        <f t="shared" si="260"/>
        <v>0</v>
      </c>
      <c r="AQ205" s="3" t="s">
        <v>300</v>
      </c>
      <c r="AV205" s="19">
        <f t="shared" si="261"/>
        <v>0</v>
      </c>
      <c r="AW205" s="19">
        <f t="shared" si="262"/>
        <v>0</v>
      </c>
      <c r="AX205" s="19">
        <f t="shared" si="263"/>
        <v>0</v>
      </c>
      <c r="AY205" s="3" t="s">
        <v>121</v>
      </c>
      <c r="AZ205" s="3" t="s">
        <v>496</v>
      </c>
      <c r="BA205" s="51" t="s">
        <v>432</v>
      </c>
      <c r="BC205" s="19">
        <f t="shared" si="264"/>
        <v>0</v>
      </c>
      <c r="BD205" s="19">
        <f t="shared" si="265"/>
        <v>0</v>
      </c>
      <c r="BE205" s="19">
        <v>0</v>
      </c>
      <c r="BF205" s="19">
        <f t="shared" si="266"/>
        <v>0</v>
      </c>
      <c r="BH205" s="19">
        <f t="shared" si="267"/>
        <v>0</v>
      </c>
      <c r="BI205" s="19">
        <f t="shared" si="268"/>
        <v>0</v>
      </c>
      <c r="BJ205" s="19">
        <f t="shared" si="269"/>
        <v>0</v>
      </c>
      <c r="BK205" s="19"/>
      <c r="BL205" s="19"/>
    </row>
    <row r="206" spans="1:64" ht="15" customHeight="1">
      <c r="A206" s="26" t="s">
        <v>270</v>
      </c>
      <c r="B206" s="21" t="s">
        <v>294</v>
      </c>
      <c r="C206" s="21" t="s">
        <v>223</v>
      </c>
      <c r="D206" s="64" t="s">
        <v>638</v>
      </c>
      <c r="E206" s="64"/>
      <c r="F206" s="21" t="s">
        <v>442</v>
      </c>
      <c r="G206" s="19">
        <v>1</v>
      </c>
      <c r="H206" s="19">
        <v>0</v>
      </c>
      <c r="I206" s="19">
        <f t="shared" si="244"/>
        <v>0</v>
      </c>
      <c r="J206" s="19">
        <f t="shared" si="245"/>
        <v>0</v>
      </c>
      <c r="K206" s="19">
        <f t="shared" si="246"/>
        <v>0</v>
      </c>
      <c r="L206" s="19">
        <v>0</v>
      </c>
      <c r="M206" s="19">
        <f t="shared" si="247"/>
        <v>0</v>
      </c>
      <c r="N206" s="41" t="s">
        <v>476</v>
      </c>
      <c r="Z206" s="19">
        <f t="shared" si="248"/>
        <v>0</v>
      </c>
      <c r="AB206" s="19">
        <f t="shared" si="249"/>
        <v>0</v>
      </c>
      <c r="AC206" s="19">
        <f t="shared" si="250"/>
        <v>0</v>
      </c>
      <c r="AD206" s="19">
        <f t="shared" si="251"/>
        <v>0</v>
      </c>
      <c r="AE206" s="19">
        <f t="shared" si="252"/>
        <v>0</v>
      </c>
      <c r="AF206" s="19">
        <f t="shared" si="253"/>
        <v>0</v>
      </c>
      <c r="AG206" s="19">
        <f t="shared" si="254"/>
        <v>0</v>
      </c>
      <c r="AH206" s="19">
        <f t="shared" si="255"/>
        <v>0</v>
      </c>
      <c r="AI206" s="51" t="s">
        <v>294</v>
      </c>
      <c r="AJ206" s="19">
        <f t="shared" si="256"/>
        <v>0</v>
      </c>
      <c r="AK206" s="19">
        <f t="shared" si="257"/>
        <v>0</v>
      </c>
      <c r="AL206" s="19">
        <f t="shared" si="258"/>
        <v>0</v>
      </c>
      <c r="AN206" s="19">
        <v>21</v>
      </c>
      <c r="AO206" s="19">
        <f t="shared" si="259"/>
        <v>0</v>
      </c>
      <c r="AP206" s="19">
        <f t="shared" si="260"/>
        <v>0</v>
      </c>
      <c r="AQ206" s="3" t="s">
        <v>300</v>
      </c>
      <c r="AV206" s="19">
        <f t="shared" si="261"/>
        <v>0</v>
      </c>
      <c r="AW206" s="19">
        <f t="shared" si="262"/>
        <v>0</v>
      </c>
      <c r="AX206" s="19">
        <f t="shared" si="263"/>
        <v>0</v>
      </c>
      <c r="AY206" s="3" t="s">
        <v>121</v>
      </c>
      <c r="AZ206" s="3" t="s">
        <v>496</v>
      </c>
      <c r="BA206" s="51" t="s">
        <v>432</v>
      </c>
      <c r="BC206" s="19">
        <f t="shared" si="264"/>
        <v>0</v>
      </c>
      <c r="BD206" s="19">
        <f t="shared" si="265"/>
        <v>0</v>
      </c>
      <c r="BE206" s="19">
        <v>0</v>
      </c>
      <c r="BF206" s="19">
        <f t="shared" si="266"/>
        <v>0</v>
      </c>
      <c r="BH206" s="19">
        <f t="shared" si="267"/>
        <v>0</v>
      </c>
      <c r="BI206" s="19">
        <f t="shared" si="268"/>
        <v>0</v>
      </c>
      <c r="BJ206" s="19">
        <f t="shared" si="269"/>
        <v>0</v>
      </c>
      <c r="BK206" s="19"/>
      <c r="BL206" s="19"/>
    </row>
    <row r="207" spans="1:64" ht="15" customHeight="1">
      <c r="A207" s="26" t="s">
        <v>309</v>
      </c>
      <c r="B207" s="21" t="s">
        <v>294</v>
      </c>
      <c r="C207" s="21" t="s">
        <v>543</v>
      </c>
      <c r="D207" s="64" t="s">
        <v>161</v>
      </c>
      <c r="E207" s="64"/>
      <c r="F207" s="21" t="s">
        <v>442</v>
      </c>
      <c r="G207" s="19">
        <v>1</v>
      </c>
      <c r="H207" s="19">
        <v>0</v>
      </c>
      <c r="I207" s="19">
        <f t="shared" si="244"/>
        <v>0</v>
      </c>
      <c r="J207" s="19">
        <f t="shared" si="245"/>
        <v>0</v>
      </c>
      <c r="K207" s="19">
        <f t="shared" si="246"/>
        <v>0</v>
      </c>
      <c r="L207" s="19">
        <v>0</v>
      </c>
      <c r="M207" s="19">
        <f t="shared" si="247"/>
        <v>0</v>
      </c>
      <c r="N207" s="41" t="s">
        <v>476</v>
      </c>
      <c r="Z207" s="19">
        <f t="shared" si="248"/>
        <v>0</v>
      </c>
      <c r="AB207" s="19">
        <f t="shared" si="249"/>
        <v>0</v>
      </c>
      <c r="AC207" s="19">
        <f t="shared" si="250"/>
        <v>0</v>
      </c>
      <c r="AD207" s="19">
        <f t="shared" si="251"/>
        <v>0</v>
      </c>
      <c r="AE207" s="19">
        <f t="shared" si="252"/>
        <v>0</v>
      </c>
      <c r="AF207" s="19">
        <f t="shared" si="253"/>
        <v>0</v>
      </c>
      <c r="AG207" s="19">
        <f t="shared" si="254"/>
        <v>0</v>
      </c>
      <c r="AH207" s="19">
        <f t="shared" si="255"/>
        <v>0</v>
      </c>
      <c r="AI207" s="51" t="s">
        <v>294</v>
      </c>
      <c r="AJ207" s="19">
        <f t="shared" si="256"/>
        <v>0</v>
      </c>
      <c r="AK207" s="19">
        <f t="shared" si="257"/>
        <v>0</v>
      </c>
      <c r="AL207" s="19">
        <f t="shared" si="258"/>
        <v>0</v>
      </c>
      <c r="AN207" s="19">
        <v>21</v>
      </c>
      <c r="AO207" s="19">
        <f t="shared" si="259"/>
        <v>0</v>
      </c>
      <c r="AP207" s="19">
        <f t="shared" si="260"/>
        <v>0</v>
      </c>
      <c r="AQ207" s="3" t="s">
        <v>300</v>
      </c>
      <c r="AV207" s="19">
        <f t="shared" si="261"/>
        <v>0</v>
      </c>
      <c r="AW207" s="19">
        <f t="shared" si="262"/>
        <v>0</v>
      </c>
      <c r="AX207" s="19">
        <f t="shared" si="263"/>
        <v>0</v>
      </c>
      <c r="AY207" s="3" t="s">
        <v>121</v>
      </c>
      <c r="AZ207" s="3" t="s">
        <v>496</v>
      </c>
      <c r="BA207" s="51" t="s">
        <v>432</v>
      </c>
      <c r="BC207" s="19">
        <f t="shared" si="264"/>
        <v>0</v>
      </c>
      <c r="BD207" s="19">
        <f t="shared" si="265"/>
        <v>0</v>
      </c>
      <c r="BE207" s="19">
        <v>0</v>
      </c>
      <c r="BF207" s="19">
        <f t="shared" si="266"/>
        <v>0</v>
      </c>
      <c r="BH207" s="19">
        <f t="shared" si="267"/>
        <v>0</v>
      </c>
      <c r="BI207" s="19">
        <f t="shared" si="268"/>
        <v>0</v>
      </c>
      <c r="BJ207" s="19">
        <f t="shared" si="269"/>
        <v>0</v>
      </c>
      <c r="BK207" s="19"/>
      <c r="BL207" s="19"/>
    </row>
    <row r="208" spans="1:64" ht="15" customHeight="1">
      <c r="A208" s="26" t="s">
        <v>515</v>
      </c>
      <c r="B208" s="21" t="s">
        <v>294</v>
      </c>
      <c r="C208" s="21" t="s">
        <v>642</v>
      </c>
      <c r="D208" s="64" t="s">
        <v>137</v>
      </c>
      <c r="E208" s="64"/>
      <c r="F208" s="21" t="s">
        <v>442</v>
      </c>
      <c r="G208" s="19">
        <v>1</v>
      </c>
      <c r="H208" s="19">
        <v>0</v>
      </c>
      <c r="I208" s="19">
        <f t="shared" si="244"/>
        <v>0</v>
      </c>
      <c r="J208" s="19">
        <f t="shared" si="245"/>
        <v>0</v>
      </c>
      <c r="K208" s="19">
        <f t="shared" si="246"/>
        <v>0</v>
      </c>
      <c r="L208" s="19">
        <v>0</v>
      </c>
      <c r="M208" s="19">
        <f t="shared" si="247"/>
        <v>0</v>
      </c>
      <c r="N208" s="41" t="s">
        <v>476</v>
      </c>
      <c r="Z208" s="19">
        <f t="shared" si="248"/>
        <v>0</v>
      </c>
      <c r="AB208" s="19">
        <f t="shared" si="249"/>
        <v>0</v>
      </c>
      <c r="AC208" s="19">
        <f t="shared" si="250"/>
        <v>0</v>
      </c>
      <c r="AD208" s="19">
        <f t="shared" si="251"/>
        <v>0</v>
      </c>
      <c r="AE208" s="19">
        <f t="shared" si="252"/>
        <v>0</v>
      </c>
      <c r="AF208" s="19">
        <f t="shared" si="253"/>
        <v>0</v>
      </c>
      <c r="AG208" s="19">
        <f t="shared" si="254"/>
        <v>0</v>
      </c>
      <c r="AH208" s="19">
        <f t="shared" si="255"/>
        <v>0</v>
      </c>
      <c r="AI208" s="51" t="s">
        <v>294</v>
      </c>
      <c r="AJ208" s="19">
        <f t="shared" si="256"/>
        <v>0</v>
      </c>
      <c r="AK208" s="19">
        <f t="shared" si="257"/>
        <v>0</v>
      </c>
      <c r="AL208" s="19">
        <f t="shared" si="258"/>
        <v>0</v>
      </c>
      <c r="AN208" s="19">
        <v>21</v>
      </c>
      <c r="AO208" s="19">
        <f t="shared" si="259"/>
        <v>0</v>
      </c>
      <c r="AP208" s="19">
        <f t="shared" si="260"/>
        <v>0</v>
      </c>
      <c r="AQ208" s="3" t="s">
        <v>300</v>
      </c>
      <c r="AV208" s="19">
        <f t="shared" si="261"/>
        <v>0</v>
      </c>
      <c r="AW208" s="19">
        <f t="shared" si="262"/>
        <v>0</v>
      </c>
      <c r="AX208" s="19">
        <f t="shared" si="263"/>
        <v>0</v>
      </c>
      <c r="AY208" s="3" t="s">
        <v>121</v>
      </c>
      <c r="AZ208" s="3" t="s">
        <v>496</v>
      </c>
      <c r="BA208" s="51" t="s">
        <v>432</v>
      </c>
      <c r="BC208" s="19">
        <f t="shared" si="264"/>
        <v>0</v>
      </c>
      <c r="BD208" s="19">
        <f t="shared" si="265"/>
        <v>0</v>
      </c>
      <c r="BE208" s="19">
        <v>0</v>
      </c>
      <c r="BF208" s="19">
        <f t="shared" si="266"/>
        <v>0</v>
      </c>
      <c r="BH208" s="19">
        <f t="shared" si="267"/>
        <v>0</v>
      </c>
      <c r="BI208" s="19">
        <f t="shared" si="268"/>
        <v>0</v>
      </c>
      <c r="BJ208" s="19">
        <f t="shared" si="269"/>
        <v>0</v>
      </c>
      <c r="BK208" s="19"/>
      <c r="BL208" s="19"/>
    </row>
    <row r="209" spans="1:14" ht="15" customHeight="1">
      <c r="A209" s="61" t="s">
        <v>392</v>
      </c>
      <c r="B209" s="36" t="s">
        <v>604</v>
      </c>
      <c r="C209" s="36" t="s">
        <v>392</v>
      </c>
      <c r="D209" s="68" t="s">
        <v>248</v>
      </c>
      <c r="E209" s="68"/>
      <c r="F209" s="1" t="s">
        <v>525</v>
      </c>
      <c r="G209" s="1" t="s">
        <v>525</v>
      </c>
      <c r="H209" s="1" t="s">
        <v>525</v>
      </c>
      <c r="I209" s="33">
        <f>I210</f>
        <v>0</v>
      </c>
      <c r="J209" s="33">
        <f>J210</f>
        <v>0</v>
      </c>
      <c r="K209" s="33">
        <f>K210</f>
        <v>0</v>
      </c>
      <c r="L209" s="51" t="s">
        <v>392</v>
      </c>
      <c r="M209" s="33">
        <f>M210</f>
        <v>0</v>
      </c>
      <c r="N209" s="58" t="s">
        <v>392</v>
      </c>
    </row>
    <row r="210" spans="1:47" ht="15" customHeight="1">
      <c r="A210" s="61" t="s">
        <v>392</v>
      </c>
      <c r="B210" s="36" t="s">
        <v>604</v>
      </c>
      <c r="C210" s="36" t="s">
        <v>299</v>
      </c>
      <c r="D210" s="68" t="s">
        <v>248</v>
      </c>
      <c r="E210" s="68"/>
      <c r="F210" s="1" t="s">
        <v>525</v>
      </c>
      <c r="G210" s="1" t="s">
        <v>525</v>
      </c>
      <c r="H210" s="1" t="s">
        <v>525</v>
      </c>
      <c r="I210" s="33">
        <f>SUM(I211:I216)</f>
        <v>0</v>
      </c>
      <c r="J210" s="33">
        <f>SUM(J211:J216)</f>
        <v>0</v>
      </c>
      <c r="K210" s="33">
        <f>SUM(K211:K216)</f>
        <v>0</v>
      </c>
      <c r="L210" s="51" t="s">
        <v>392</v>
      </c>
      <c r="M210" s="33">
        <f>SUM(M211:M216)</f>
        <v>0</v>
      </c>
      <c r="N210" s="58" t="s">
        <v>392</v>
      </c>
      <c r="AI210" s="51" t="s">
        <v>604</v>
      </c>
      <c r="AS210" s="33">
        <f>SUM(AJ211:AJ216)</f>
        <v>0</v>
      </c>
      <c r="AT210" s="33">
        <f>SUM(AK211:AK216)</f>
        <v>0</v>
      </c>
      <c r="AU210" s="33">
        <f>SUM(AL211:AL216)</f>
        <v>0</v>
      </c>
    </row>
    <row r="211" spans="1:64" ht="15" customHeight="1">
      <c r="A211" s="26" t="s">
        <v>586</v>
      </c>
      <c r="B211" s="21" t="s">
        <v>604</v>
      </c>
      <c r="C211" s="21" t="s">
        <v>264</v>
      </c>
      <c r="D211" s="64" t="s">
        <v>511</v>
      </c>
      <c r="E211" s="64"/>
      <c r="F211" s="21" t="s">
        <v>442</v>
      </c>
      <c r="G211" s="19">
        <v>1</v>
      </c>
      <c r="H211" s="19">
        <v>0</v>
      </c>
      <c r="I211" s="19">
        <f aca="true" t="shared" si="270" ref="I211:I216">G211*AO211</f>
        <v>0</v>
      </c>
      <c r="J211" s="19">
        <f aca="true" t="shared" si="271" ref="J211:J216">G211*AP211</f>
        <v>0</v>
      </c>
      <c r="K211" s="19">
        <f aca="true" t="shared" si="272" ref="K211:K216">G211*H211</f>
        <v>0</v>
      </c>
      <c r="L211" s="19">
        <v>0</v>
      </c>
      <c r="M211" s="19">
        <f aca="true" t="shared" si="273" ref="M211:M216">G211*L211</f>
        <v>0</v>
      </c>
      <c r="N211" s="41" t="s">
        <v>476</v>
      </c>
      <c r="Z211" s="19">
        <f aca="true" t="shared" si="274" ref="Z211:Z216">IF(AQ211="5",BJ211,0)</f>
        <v>0</v>
      </c>
      <c r="AB211" s="19">
        <f aca="true" t="shared" si="275" ref="AB211:AB216">IF(AQ211="1",BH211,0)</f>
        <v>0</v>
      </c>
      <c r="AC211" s="19">
        <f aca="true" t="shared" si="276" ref="AC211:AC216">IF(AQ211="1",BI211,0)</f>
        <v>0</v>
      </c>
      <c r="AD211" s="19">
        <f aca="true" t="shared" si="277" ref="AD211:AD216">IF(AQ211="7",BH211,0)</f>
        <v>0</v>
      </c>
      <c r="AE211" s="19">
        <f aca="true" t="shared" si="278" ref="AE211:AE216">IF(AQ211="7",BI211,0)</f>
        <v>0</v>
      </c>
      <c r="AF211" s="19">
        <f aca="true" t="shared" si="279" ref="AF211:AF216">IF(AQ211="2",BH211,0)</f>
        <v>0</v>
      </c>
      <c r="AG211" s="19">
        <f aca="true" t="shared" si="280" ref="AG211:AG216">IF(AQ211="2",BI211,0)</f>
        <v>0</v>
      </c>
      <c r="AH211" s="19">
        <f aca="true" t="shared" si="281" ref="AH211:AH216">IF(AQ211="0",BJ211,0)</f>
        <v>0</v>
      </c>
      <c r="AI211" s="51" t="s">
        <v>604</v>
      </c>
      <c r="AJ211" s="19">
        <f aca="true" t="shared" si="282" ref="AJ211:AJ216">IF(AN211=0,K211,0)</f>
        <v>0</v>
      </c>
      <c r="AK211" s="19">
        <f aca="true" t="shared" si="283" ref="AK211:AK216">IF(AN211=15,K211,0)</f>
        <v>0</v>
      </c>
      <c r="AL211" s="19">
        <f aca="true" t="shared" si="284" ref="AL211:AL216">IF(AN211=21,K211,0)</f>
        <v>0</v>
      </c>
      <c r="AN211" s="19">
        <v>21</v>
      </c>
      <c r="AO211" s="19">
        <f>H211*0.742971887550201</f>
        <v>0</v>
      </c>
      <c r="AP211" s="19">
        <f>H211*(1-0.742971887550201)</f>
        <v>0</v>
      </c>
      <c r="AQ211" s="3" t="s">
        <v>570</v>
      </c>
      <c r="AV211" s="19">
        <f aca="true" t="shared" si="285" ref="AV211:AV216">AW211+AX211</f>
        <v>0</v>
      </c>
      <c r="AW211" s="19">
        <f aca="true" t="shared" si="286" ref="AW211:AW216">G211*AO211</f>
        <v>0</v>
      </c>
      <c r="AX211" s="19">
        <f aca="true" t="shared" si="287" ref="AX211:AX216">G211*AP211</f>
        <v>0</v>
      </c>
      <c r="AY211" s="3" t="s">
        <v>381</v>
      </c>
      <c r="AZ211" s="3" t="s">
        <v>25</v>
      </c>
      <c r="BA211" s="51" t="s">
        <v>509</v>
      </c>
      <c r="BC211" s="19">
        <f aca="true" t="shared" si="288" ref="BC211:BC216">AW211+AX211</f>
        <v>0</v>
      </c>
      <c r="BD211" s="19">
        <f aca="true" t="shared" si="289" ref="BD211:BD216">H211/(100-BE211)*100</f>
        <v>0</v>
      </c>
      <c r="BE211" s="19">
        <v>0</v>
      </c>
      <c r="BF211" s="19">
        <f aca="true" t="shared" si="290" ref="BF211:BF216">M211</f>
        <v>0</v>
      </c>
      <c r="BH211" s="19">
        <f aca="true" t="shared" si="291" ref="BH211:BH216">G211*AO211</f>
        <v>0</v>
      </c>
      <c r="BI211" s="19">
        <f aca="true" t="shared" si="292" ref="BI211:BI216">G211*AP211</f>
        <v>0</v>
      </c>
      <c r="BJ211" s="19">
        <f aca="true" t="shared" si="293" ref="BJ211:BJ216">G211*H211</f>
        <v>0</v>
      </c>
      <c r="BK211" s="19"/>
      <c r="BL211" s="19">
        <v>911</v>
      </c>
    </row>
    <row r="212" spans="1:64" ht="15" customHeight="1">
      <c r="A212" s="26" t="s">
        <v>3</v>
      </c>
      <c r="B212" s="21" t="s">
        <v>604</v>
      </c>
      <c r="C212" s="21" t="s">
        <v>255</v>
      </c>
      <c r="D212" s="64" t="s">
        <v>505</v>
      </c>
      <c r="E212" s="64"/>
      <c r="F212" s="21" t="s">
        <v>442</v>
      </c>
      <c r="G212" s="19">
        <v>1</v>
      </c>
      <c r="H212" s="19">
        <v>0</v>
      </c>
      <c r="I212" s="19">
        <f t="shared" si="270"/>
        <v>0</v>
      </c>
      <c r="J212" s="19">
        <f t="shared" si="271"/>
        <v>0</v>
      </c>
      <c r="K212" s="19">
        <f t="shared" si="272"/>
        <v>0</v>
      </c>
      <c r="L212" s="19">
        <v>0</v>
      </c>
      <c r="M212" s="19">
        <f t="shared" si="273"/>
        <v>0</v>
      </c>
      <c r="N212" s="41" t="s">
        <v>476</v>
      </c>
      <c r="Z212" s="19">
        <f t="shared" si="274"/>
        <v>0</v>
      </c>
      <c r="AB212" s="19">
        <f t="shared" si="275"/>
        <v>0</v>
      </c>
      <c r="AC212" s="19">
        <f t="shared" si="276"/>
        <v>0</v>
      </c>
      <c r="AD212" s="19">
        <f t="shared" si="277"/>
        <v>0</v>
      </c>
      <c r="AE212" s="19">
        <f t="shared" si="278"/>
        <v>0</v>
      </c>
      <c r="AF212" s="19">
        <f t="shared" si="279"/>
        <v>0</v>
      </c>
      <c r="AG212" s="19">
        <f t="shared" si="280"/>
        <v>0</v>
      </c>
      <c r="AH212" s="19">
        <f t="shared" si="281"/>
        <v>0</v>
      </c>
      <c r="AI212" s="51" t="s">
        <v>604</v>
      </c>
      <c r="AJ212" s="19">
        <f t="shared" si="282"/>
        <v>0</v>
      </c>
      <c r="AK212" s="19">
        <f t="shared" si="283"/>
        <v>0</v>
      </c>
      <c r="AL212" s="19">
        <f t="shared" si="284"/>
        <v>0</v>
      </c>
      <c r="AN212" s="19">
        <v>21</v>
      </c>
      <c r="AO212" s="19">
        <f>H212*0</f>
        <v>0</v>
      </c>
      <c r="AP212" s="19">
        <f>H212*(1-0)</f>
        <v>0</v>
      </c>
      <c r="AQ212" s="3" t="s">
        <v>570</v>
      </c>
      <c r="AV212" s="19">
        <f t="shared" si="285"/>
        <v>0</v>
      </c>
      <c r="AW212" s="19">
        <f t="shared" si="286"/>
        <v>0</v>
      </c>
      <c r="AX212" s="19">
        <f t="shared" si="287"/>
        <v>0</v>
      </c>
      <c r="AY212" s="3" t="s">
        <v>381</v>
      </c>
      <c r="AZ212" s="3" t="s">
        <v>25</v>
      </c>
      <c r="BA212" s="51" t="s">
        <v>509</v>
      </c>
      <c r="BC212" s="19">
        <f t="shared" si="288"/>
        <v>0</v>
      </c>
      <c r="BD212" s="19">
        <f t="shared" si="289"/>
        <v>0</v>
      </c>
      <c r="BE212" s="19">
        <v>0</v>
      </c>
      <c r="BF212" s="19">
        <f t="shared" si="290"/>
        <v>0</v>
      </c>
      <c r="BH212" s="19">
        <f t="shared" si="291"/>
        <v>0</v>
      </c>
      <c r="BI212" s="19">
        <f t="shared" si="292"/>
        <v>0</v>
      </c>
      <c r="BJ212" s="19">
        <f t="shared" si="293"/>
        <v>0</v>
      </c>
      <c r="BK212" s="19"/>
      <c r="BL212" s="19">
        <v>911</v>
      </c>
    </row>
    <row r="213" spans="1:64" ht="15" customHeight="1">
      <c r="A213" s="26" t="s">
        <v>14</v>
      </c>
      <c r="B213" s="21" t="s">
        <v>604</v>
      </c>
      <c r="C213" s="21" t="s">
        <v>375</v>
      </c>
      <c r="D213" s="64" t="s">
        <v>382</v>
      </c>
      <c r="E213" s="64"/>
      <c r="F213" s="21" t="s">
        <v>442</v>
      </c>
      <c r="G213" s="19">
        <v>1</v>
      </c>
      <c r="H213" s="19">
        <v>0</v>
      </c>
      <c r="I213" s="19">
        <f t="shared" si="270"/>
        <v>0</v>
      </c>
      <c r="J213" s="19">
        <f t="shared" si="271"/>
        <v>0</v>
      </c>
      <c r="K213" s="19">
        <f t="shared" si="272"/>
        <v>0</v>
      </c>
      <c r="L213" s="19">
        <v>0</v>
      </c>
      <c r="M213" s="19">
        <f t="shared" si="273"/>
        <v>0</v>
      </c>
      <c r="N213" s="41" t="s">
        <v>476</v>
      </c>
      <c r="Z213" s="19">
        <f t="shared" si="274"/>
        <v>0</v>
      </c>
      <c r="AB213" s="19">
        <f t="shared" si="275"/>
        <v>0</v>
      </c>
      <c r="AC213" s="19">
        <f t="shared" si="276"/>
        <v>0</v>
      </c>
      <c r="AD213" s="19">
        <f t="shared" si="277"/>
        <v>0</v>
      </c>
      <c r="AE213" s="19">
        <f t="shared" si="278"/>
        <v>0</v>
      </c>
      <c r="AF213" s="19">
        <f t="shared" si="279"/>
        <v>0</v>
      </c>
      <c r="AG213" s="19">
        <f t="shared" si="280"/>
        <v>0</v>
      </c>
      <c r="AH213" s="19">
        <f t="shared" si="281"/>
        <v>0</v>
      </c>
      <c r="AI213" s="51" t="s">
        <v>604</v>
      </c>
      <c r="AJ213" s="19">
        <f t="shared" si="282"/>
        <v>0</v>
      </c>
      <c r="AK213" s="19">
        <f t="shared" si="283"/>
        <v>0</v>
      </c>
      <c r="AL213" s="19">
        <f t="shared" si="284"/>
        <v>0</v>
      </c>
      <c r="AN213" s="19">
        <v>21</v>
      </c>
      <c r="AO213" s="19">
        <f>H213*0</f>
        <v>0</v>
      </c>
      <c r="AP213" s="19">
        <f>H213*(1-0)</f>
        <v>0</v>
      </c>
      <c r="AQ213" s="3" t="s">
        <v>570</v>
      </c>
      <c r="AV213" s="19">
        <f t="shared" si="285"/>
        <v>0</v>
      </c>
      <c r="AW213" s="19">
        <f t="shared" si="286"/>
        <v>0</v>
      </c>
      <c r="AX213" s="19">
        <f t="shared" si="287"/>
        <v>0</v>
      </c>
      <c r="AY213" s="3" t="s">
        <v>381</v>
      </c>
      <c r="AZ213" s="3" t="s">
        <v>25</v>
      </c>
      <c r="BA213" s="51" t="s">
        <v>509</v>
      </c>
      <c r="BC213" s="19">
        <f t="shared" si="288"/>
        <v>0</v>
      </c>
      <c r="BD213" s="19">
        <f t="shared" si="289"/>
        <v>0</v>
      </c>
      <c r="BE213" s="19">
        <v>0</v>
      </c>
      <c r="BF213" s="19">
        <f t="shared" si="290"/>
        <v>0</v>
      </c>
      <c r="BH213" s="19">
        <f t="shared" si="291"/>
        <v>0</v>
      </c>
      <c r="BI213" s="19">
        <f t="shared" si="292"/>
        <v>0</v>
      </c>
      <c r="BJ213" s="19">
        <f t="shared" si="293"/>
        <v>0</v>
      </c>
      <c r="BK213" s="19"/>
      <c r="BL213" s="19">
        <v>911</v>
      </c>
    </row>
    <row r="214" spans="1:64" ht="15" customHeight="1">
      <c r="A214" s="26" t="s">
        <v>29</v>
      </c>
      <c r="B214" s="21" t="s">
        <v>604</v>
      </c>
      <c r="C214" s="21" t="s">
        <v>430</v>
      </c>
      <c r="D214" s="64" t="s">
        <v>445</v>
      </c>
      <c r="E214" s="64"/>
      <c r="F214" s="21" t="s">
        <v>442</v>
      </c>
      <c r="G214" s="19">
        <v>1</v>
      </c>
      <c r="H214" s="19">
        <v>0</v>
      </c>
      <c r="I214" s="19">
        <f t="shared" si="270"/>
        <v>0</v>
      </c>
      <c r="J214" s="19">
        <f t="shared" si="271"/>
        <v>0</v>
      </c>
      <c r="K214" s="19">
        <f t="shared" si="272"/>
        <v>0</v>
      </c>
      <c r="L214" s="19">
        <v>0</v>
      </c>
      <c r="M214" s="19">
        <f t="shared" si="273"/>
        <v>0</v>
      </c>
      <c r="N214" s="41" t="s">
        <v>476</v>
      </c>
      <c r="Z214" s="19">
        <f t="shared" si="274"/>
        <v>0</v>
      </c>
      <c r="AB214" s="19">
        <f t="shared" si="275"/>
        <v>0</v>
      </c>
      <c r="AC214" s="19">
        <f t="shared" si="276"/>
        <v>0</v>
      </c>
      <c r="AD214" s="19">
        <f t="shared" si="277"/>
        <v>0</v>
      </c>
      <c r="AE214" s="19">
        <f t="shared" si="278"/>
        <v>0</v>
      </c>
      <c r="AF214" s="19">
        <f t="shared" si="279"/>
        <v>0</v>
      </c>
      <c r="AG214" s="19">
        <f t="shared" si="280"/>
        <v>0</v>
      </c>
      <c r="AH214" s="19">
        <f t="shared" si="281"/>
        <v>0</v>
      </c>
      <c r="AI214" s="51" t="s">
        <v>604</v>
      </c>
      <c r="AJ214" s="19">
        <f t="shared" si="282"/>
        <v>0</v>
      </c>
      <c r="AK214" s="19">
        <f t="shared" si="283"/>
        <v>0</v>
      </c>
      <c r="AL214" s="19">
        <f t="shared" si="284"/>
        <v>0</v>
      </c>
      <c r="AN214" s="19">
        <v>21</v>
      </c>
      <c r="AO214" s="19">
        <f>H214*0</f>
        <v>0</v>
      </c>
      <c r="AP214" s="19">
        <f>H214*(1-0)</f>
        <v>0</v>
      </c>
      <c r="AQ214" s="3" t="s">
        <v>570</v>
      </c>
      <c r="AV214" s="19">
        <f t="shared" si="285"/>
        <v>0</v>
      </c>
      <c r="AW214" s="19">
        <f t="shared" si="286"/>
        <v>0</v>
      </c>
      <c r="AX214" s="19">
        <f t="shared" si="287"/>
        <v>0</v>
      </c>
      <c r="AY214" s="3" t="s">
        <v>381</v>
      </c>
      <c r="AZ214" s="3" t="s">
        <v>25</v>
      </c>
      <c r="BA214" s="51" t="s">
        <v>509</v>
      </c>
      <c r="BC214" s="19">
        <f t="shared" si="288"/>
        <v>0</v>
      </c>
      <c r="BD214" s="19">
        <f t="shared" si="289"/>
        <v>0</v>
      </c>
      <c r="BE214" s="19">
        <v>0</v>
      </c>
      <c r="BF214" s="19">
        <f t="shared" si="290"/>
        <v>0</v>
      </c>
      <c r="BH214" s="19">
        <f t="shared" si="291"/>
        <v>0</v>
      </c>
      <c r="BI214" s="19">
        <f t="shared" si="292"/>
        <v>0</v>
      </c>
      <c r="BJ214" s="19">
        <f t="shared" si="293"/>
        <v>0</v>
      </c>
      <c r="BK214" s="19"/>
      <c r="BL214" s="19">
        <v>911</v>
      </c>
    </row>
    <row r="215" spans="1:64" ht="15" customHeight="1">
      <c r="A215" s="26" t="s">
        <v>427</v>
      </c>
      <c r="B215" s="21" t="s">
        <v>604</v>
      </c>
      <c r="C215" s="21" t="s">
        <v>24</v>
      </c>
      <c r="D215" s="64" t="s">
        <v>386</v>
      </c>
      <c r="E215" s="64"/>
      <c r="F215" s="21" t="s">
        <v>442</v>
      </c>
      <c r="G215" s="19">
        <v>1</v>
      </c>
      <c r="H215" s="19">
        <v>0</v>
      </c>
      <c r="I215" s="19">
        <f t="shared" si="270"/>
        <v>0</v>
      </c>
      <c r="J215" s="19">
        <f t="shared" si="271"/>
        <v>0</v>
      </c>
      <c r="K215" s="19">
        <f t="shared" si="272"/>
        <v>0</v>
      </c>
      <c r="L215" s="19">
        <v>0</v>
      </c>
      <c r="M215" s="19">
        <f t="shared" si="273"/>
        <v>0</v>
      </c>
      <c r="N215" s="41" t="s">
        <v>476</v>
      </c>
      <c r="Z215" s="19">
        <f t="shared" si="274"/>
        <v>0</v>
      </c>
      <c r="AB215" s="19">
        <f t="shared" si="275"/>
        <v>0</v>
      </c>
      <c r="AC215" s="19">
        <f t="shared" si="276"/>
        <v>0</v>
      </c>
      <c r="AD215" s="19">
        <f t="shared" si="277"/>
        <v>0</v>
      </c>
      <c r="AE215" s="19">
        <f t="shared" si="278"/>
        <v>0</v>
      </c>
      <c r="AF215" s="19">
        <f t="shared" si="279"/>
        <v>0</v>
      </c>
      <c r="AG215" s="19">
        <f t="shared" si="280"/>
        <v>0</v>
      </c>
      <c r="AH215" s="19">
        <f t="shared" si="281"/>
        <v>0</v>
      </c>
      <c r="AI215" s="51" t="s">
        <v>604</v>
      </c>
      <c r="AJ215" s="19">
        <f t="shared" si="282"/>
        <v>0</v>
      </c>
      <c r="AK215" s="19">
        <f t="shared" si="283"/>
        <v>0</v>
      </c>
      <c r="AL215" s="19">
        <f t="shared" si="284"/>
        <v>0</v>
      </c>
      <c r="AN215" s="19">
        <v>21</v>
      </c>
      <c r="AO215" s="19">
        <f>H215*0</f>
        <v>0</v>
      </c>
      <c r="AP215" s="19">
        <f>H215*(1-0)</f>
        <v>0</v>
      </c>
      <c r="AQ215" s="3" t="s">
        <v>570</v>
      </c>
      <c r="AV215" s="19">
        <f t="shared" si="285"/>
        <v>0</v>
      </c>
      <c r="AW215" s="19">
        <f t="shared" si="286"/>
        <v>0</v>
      </c>
      <c r="AX215" s="19">
        <f t="shared" si="287"/>
        <v>0</v>
      </c>
      <c r="AY215" s="3" t="s">
        <v>381</v>
      </c>
      <c r="AZ215" s="3" t="s">
        <v>25</v>
      </c>
      <c r="BA215" s="51" t="s">
        <v>509</v>
      </c>
      <c r="BC215" s="19">
        <f t="shared" si="288"/>
        <v>0</v>
      </c>
      <c r="BD215" s="19">
        <f t="shared" si="289"/>
        <v>0</v>
      </c>
      <c r="BE215" s="19">
        <v>0</v>
      </c>
      <c r="BF215" s="19">
        <f t="shared" si="290"/>
        <v>0</v>
      </c>
      <c r="BH215" s="19">
        <f t="shared" si="291"/>
        <v>0</v>
      </c>
      <c r="BI215" s="19">
        <f t="shared" si="292"/>
        <v>0</v>
      </c>
      <c r="BJ215" s="19">
        <f t="shared" si="293"/>
        <v>0</v>
      </c>
      <c r="BK215" s="19"/>
      <c r="BL215" s="19">
        <v>911</v>
      </c>
    </row>
    <row r="216" spans="1:64" ht="15" customHeight="1">
      <c r="A216" s="55" t="s">
        <v>634</v>
      </c>
      <c r="B216" s="46" t="s">
        <v>604</v>
      </c>
      <c r="C216" s="46" t="s">
        <v>495</v>
      </c>
      <c r="D216" s="65" t="s">
        <v>417</v>
      </c>
      <c r="E216" s="65"/>
      <c r="F216" s="46" t="s">
        <v>442</v>
      </c>
      <c r="G216" s="63">
        <v>1</v>
      </c>
      <c r="H216" s="19">
        <v>0</v>
      </c>
      <c r="I216" s="63">
        <f t="shared" si="270"/>
        <v>0</v>
      </c>
      <c r="J216" s="63">
        <f t="shared" si="271"/>
        <v>0</v>
      </c>
      <c r="K216" s="63">
        <f t="shared" si="272"/>
        <v>0</v>
      </c>
      <c r="L216" s="63">
        <v>0</v>
      </c>
      <c r="M216" s="63">
        <f t="shared" si="273"/>
        <v>0</v>
      </c>
      <c r="N216" s="41" t="s">
        <v>476</v>
      </c>
      <c r="Z216" s="19">
        <f t="shared" si="274"/>
        <v>0</v>
      </c>
      <c r="AB216" s="19">
        <f t="shared" si="275"/>
        <v>0</v>
      </c>
      <c r="AC216" s="19">
        <f t="shared" si="276"/>
        <v>0</v>
      </c>
      <c r="AD216" s="19">
        <f t="shared" si="277"/>
        <v>0</v>
      </c>
      <c r="AE216" s="19">
        <f t="shared" si="278"/>
        <v>0</v>
      </c>
      <c r="AF216" s="19">
        <f t="shared" si="279"/>
        <v>0</v>
      </c>
      <c r="AG216" s="19">
        <f t="shared" si="280"/>
        <v>0</v>
      </c>
      <c r="AH216" s="19">
        <f t="shared" si="281"/>
        <v>0</v>
      </c>
      <c r="AI216" s="51" t="s">
        <v>604</v>
      </c>
      <c r="AJ216" s="19">
        <f t="shared" si="282"/>
        <v>0</v>
      </c>
      <c r="AK216" s="19">
        <f t="shared" si="283"/>
        <v>0</v>
      </c>
      <c r="AL216" s="19">
        <f t="shared" si="284"/>
        <v>0</v>
      </c>
      <c r="AN216" s="19">
        <v>21</v>
      </c>
      <c r="AO216" s="19">
        <f>H216*0</f>
        <v>0</v>
      </c>
      <c r="AP216" s="19">
        <f>H216*(1-0)</f>
        <v>0</v>
      </c>
      <c r="AQ216" s="3" t="s">
        <v>570</v>
      </c>
      <c r="AV216" s="19">
        <f t="shared" si="285"/>
        <v>0</v>
      </c>
      <c r="AW216" s="19">
        <f t="shared" si="286"/>
        <v>0</v>
      </c>
      <c r="AX216" s="19">
        <f t="shared" si="287"/>
        <v>0</v>
      </c>
      <c r="AY216" s="3" t="s">
        <v>381</v>
      </c>
      <c r="AZ216" s="3" t="s">
        <v>25</v>
      </c>
      <c r="BA216" s="51" t="s">
        <v>509</v>
      </c>
      <c r="BC216" s="19">
        <f t="shared" si="288"/>
        <v>0</v>
      </c>
      <c r="BD216" s="19">
        <f t="shared" si="289"/>
        <v>0</v>
      </c>
      <c r="BE216" s="19">
        <v>0</v>
      </c>
      <c r="BF216" s="19">
        <f t="shared" si="290"/>
        <v>0</v>
      </c>
      <c r="BH216" s="19">
        <f t="shared" si="291"/>
        <v>0</v>
      </c>
      <c r="BI216" s="19">
        <f t="shared" si="292"/>
        <v>0</v>
      </c>
      <c r="BJ216" s="19">
        <f t="shared" si="293"/>
        <v>0</v>
      </c>
      <c r="BK216" s="19"/>
      <c r="BL216" s="19">
        <v>911</v>
      </c>
    </row>
    <row r="217" spans="9:11" ht="15" customHeight="1">
      <c r="I217" s="66" t="s">
        <v>456</v>
      </c>
      <c r="J217" s="66"/>
      <c r="K217" s="39">
        <f>K13+K20+K22+K24+K28+K30+K39+K41+K48+K56+K63+K107+K109+K115+K117+K119+K143+K159+K162+K165+K172+K178+K192+K194+K196+K198+K200+K202+K210</f>
        <v>0</v>
      </c>
    </row>
    <row r="218" ht="15" customHeight="1">
      <c r="A218" s="37" t="s">
        <v>44</v>
      </c>
    </row>
    <row r="219" spans="1:14" ht="12.75" customHeight="1">
      <c r="A219" s="67" t="s">
        <v>392</v>
      </c>
      <c r="B219" s="64"/>
      <c r="C219" s="64"/>
      <c r="D219" s="64"/>
      <c r="E219" s="64"/>
      <c r="F219" s="64"/>
      <c r="G219" s="64"/>
      <c r="H219" s="64"/>
      <c r="I219" s="64"/>
      <c r="J219" s="64"/>
      <c r="K219" s="64"/>
      <c r="L219" s="64"/>
      <c r="M219" s="64"/>
      <c r="N219" s="64"/>
    </row>
  </sheetData>
  <sheetProtection/>
  <mergeCells count="236">
    <mergeCell ref="A1:N1"/>
    <mergeCell ref="A2:C3"/>
    <mergeCell ref="A4:C5"/>
    <mergeCell ref="A6:C7"/>
    <mergeCell ref="A8:C9"/>
    <mergeCell ref="F2:G3"/>
    <mergeCell ref="F4:G5"/>
    <mergeCell ref="F6:G7"/>
    <mergeCell ref="F8:G9"/>
    <mergeCell ref="I2:I3"/>
    <mergeCell ref="D4:E5"/>
    <mergeCell ref="D6:E7"/>
    <mergeCell ref="D8:E9"/>
    <mergeCell ref="H2:H3"/>
    <mergeCell ref="H4:H5"/>
    <mergeCell ref="H6:H7"/>
    <mergeCell ref="H8:H9"/>
    <mergeCell ref="J2:N3"/>
    <mergeCell ref="J4:N5"/>
    <mergeCell ref="J6:N7"/>
    <mergeCell ref="J8:N9"/>
    <mergeCell ref="D10:E10"/>
    <mergeCell ref="I4:I5"/>
    <mergeCell ref="I6:I7"/>
    <mergeCell ref="I8:I9"/>
    <mergeCell ref="D2:E3"/>
    <mergeCell ref="D11:E11"/>
    <mergeCell ref="I10:K10"/>
    <mergeCell ref="L10:M10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D43:E43"/>
    <mergeCell ref="D44:E44"/>
    <mergeCell ref="D45:E45"/>
    <mergeCell ref="D46:E46"/>
    <mergeCell ref="D47:E47"/>
    <mergeCell ref="D48:E48"/>
    <mergeCell ref="D49:E49"/>
    <mergeCell ref="D50:E50"/>
    <mergeCell ref="D51:E51"/>
    <mergeCell ref="D52:E52"/>
    <mergeCell ref="D53:E53"/>
    <mergeCell ref="D54:E54"/>
    <mergeCell ref="D55:E55"/>
    <mergeCell ref="D56:E56"/>
    <mergeCell ref="D57:E57"/>
    <mergeCell ref="D58:E58"/>
    <mergeCell ref="D59:E59"/>
    <mergeCell ref="D60:E60"/>
    <mergeCell ref="D61:E61"/>
    <mergeCell ref="D62:E62"/>
    <mergeCell ref="D63:E63"/>
    <mergeCell ref="D64:E64"/>
    <mergeCell ref="D65:E65"/>
    <mergeCell ref="D66:E66"/>
    <mergeCell ref="D67:E67"/>
    <mergeCell ref="D68:E68"/>
    <mergeCell ref="D69:E69"/>
    <mergeCell ref="D70:E70"/>
    <mergeCell ref="D71:E71"/>
    <mergeCell ref="D72:E72"/>
    <mergeCell ref="D73:E73"/>
    <mergeCell ref="D74:E74"/>
    <mergeCell ref="D75:E75"/>
    <mergeCell ref="D76:E76"/>
    <mergeCell ref="D77:E77"/>
    <mergeCell ref="D78:E78"/>
    <mergeCell ref="D79:E79"/>
    <mergeCell ref="D80:E80"/>
    <mergeCell ref="D81:E81"/>
    <mergeCell ref="D82:E82"/>
    <mergeCell ref="D83:E83"/>
    <mergeCell ref="D84:E84"/>
    <mergeCell ref="D85:E85"/>
    <mergeCell ref="D86:E86"/>
    <mergeCell ref="D87:E87"/>
    <mergeCell ref="D88:E88"/>
    <mergeCell ref="D89:E89"/>
    <mergeCell ref="D90:E90"/>
    <mergeCell ref="D91:E91"/>
    <mergeCell ref="D92:E92"/>
    <mergeCell ref="D93:E93"/>
    <mergeCell ref="D94:E94"/>
    <mergeCell ref="D95:E95"/>
    <mergeCell ref="D96:E96"/>
    <mergeCell ref="D97:E97"/>
    <mergeCell ref="D98:E98"/>
    <mergeCell ref="D99:E99"/>
    <mergeCell ref="D100:E100"/>
    <mergeCell ref="D101:E101"/>
    <mergeCell ref="D102:E102"/>
    <mergeCell ref="D103:E103"/>
    <mergeCell ref="D104:E104"/>
    <mergeCell ref="D105:E105"/>
    <mergeCell ref="D106:E106"/>
    <mergeCell ref="D107:E107"/>
    <mergeCell ref="D108:E108"/>
    <mergeCell ref="D109:E109"/>
    <mergeCell ref="D110:E110"/>
    <mergeCell ref="D111:E111"/>
    <mergeCell ref="D112:E112"/>
    <mergeCell ref="D113:E113"/>
    <mergeCell ref="D114:E114"/>
    <mergeCell ref="D115:E115"/>
    <mergeCell ref="D116:E116"/>
    <mergeCell ref="D117:E117"/>
    <mergeCell ref="D118:E118"/>
    <mergeCell ref="D119:E119"/>
    <mergeCell ref="D120:E120"/>
    <mergeCell ref="D121:E121"/>
    <mergeCell ref="D122:E122"/>
    <mergeCell ref="D123:E123"/>
    <mergeCell ref="D124:E124"/>
    <mergeCell ref="D125:E125"/>
    <mergeCell ref="D126:E126"/>
    <mergeCell ref="D127:E127"/>
    <mergeCell ref="D128:E128"/>
    <mergeCell ref="D129:E129"/>
    <mergeCell ref="D130:E130"/>
    <mergeCell ref="D131:E131"/>
    <mergeCell ref="D132:E132"/>
    <mergeCell ref="D133:E133"/>
    <mergeCell ref="D134:E134"/>
    <mergeCell ref="D135:E135"/>
    <mergeCell ref="D136:E136"/>
    <mergeCell ref="D137:E137"/>
    <mergeCell ref="D138:E138"/>
    <mergeCell ref="D139:E139"/>
    <mergeCell ref="D140:E140"/>
    <mergeCell ref="D141:E141"/>
    <mergeCell ref="D142:E142"/>
    <mergeCell ref="D143:E143"/>
    <mergeCell ref="D144:E144"/>
    <mergeCell ref="D145:E145"/>
    <mergeCell ref="D146:E146"/>
    <mergeCell ref="D147:E147"/>
    <mergeCell ref="D148:E148"/>
    <mergeCell ref="D149:E149"/>
    <mergeCell ref="D150:E150"/>
    <mergeCell ref="D151:E151"/>
    <mergeCell ref="D152:E152"/>
    <mergeCell ref="D153:E153"/>
    <mergeCell ref="D154:E154"/>
    <mergeCell ref="D155:E155"/>
    <mergeCell ref="D156:E156"/>
    <mergeCell ref="D157:E157"/>
    <mergeCell ref="D158:E158"/>
    <mergeCell ref="D159:E159"/>
    <mergeCell ref="D160:E160"/>
    <mergeCell ref="D161:E161"/>
    <mergeCell ref="D162:E162"/>
    <mergeCell ref="D163:E163"/>
    <mergeCell ref="D164:E164"/>
    <mergeCell ref="D165:E165"/>
    <mergeCell ref="D166:E166"/>
    <mergeCell ref="D167:E167"/>
    <mergeCell ref="D168:E168"/>
    <mergeCell ref="D169:E169"/>
    <mergeCell ref="D170:E170"/>
    <mergeCell ref="D171:E171"/>
    <mergeCell ref="D172:E172"/>
    <mergeCell ref="D173:E173"/>
    <mergeCell ref="D174:E174"/>
    <mergeCell ref="D175:E175"/>
    <mergeCell ref="D176:E176"/>
    <mergeCell ref="D177:E177"/>
    <mergeCell ref="D178:E178"/>
    <mergeCell ref="D179:E179"/>
    <mergeCell ref="D180:E180"/>
    <mergeCell ref="D181:E181"/>
    <mergeCell ref="D182:E182"/>
    <mergeCell ref="D183:E183"/>
    <mergeCell ref="D184:E184"/>
    <mergeCell ref="D185:E185"/>
    <mergeCell ref="D186:E186"/>
    <mergeCell ref="D187:E187"/>
    <mergeCell ref="D188:E188"/>
    <mergeCell ref="D189:E189"/>
    <mergeCell ref="D190:E190"/>
    <mergeCell ref="D191:E191"/>
    <mergeCell ref="D192:E192"/>
    <mergeCell ref="D193:E193"/>
    <mergeCell ref="D194:E194"/>
    <mergeCell ref="D195:E195"/>
    <mergeCell ref="D196:E196"/>
    <mergeCell ref="D197:E197"/>
    <mergeCell ref="D198:E198"/>
    <mergeCell ref="D199:E199"/>
    <mergeCell ref="D200:E200"/>
    <mergeCell ref="D201:E201"/>
    <mergeCell ref="D202:E202"/>
    <mergeCell ref="D203:E203"/>
    <mergeCell ref="D204:E204"/>
    <mergeCell ref="D205:E205"/>
    <mergeCell ref="D206:E206"/>
    <mergeCell ref="D207:E207"/>
    <mergeCell ref="D208:E208"/>
    <mergeCell ref="D209:E209"/>
    <mergeCell ref="D210:E210"/>
    <mergeCell ref="D211:E211"/>
    <mergeCell ref="D212:E212"/>
    <mergeCell ref="D213:E213"/>
    <mergeCell ref="D214:E214"/>
    <mergeCell ref="D215:E215"/>
    <mergeCell ref="D216:E216"/>
    <mergeCell ref="I217:J217"/>
    <mergeCell ref="A219:N219"/>
  </mergeCells>
  <printOptions horizontalCentered="1"/>
  <pageMargins left="0.3937007874015748" right="0.3937007874015748" top="0.5905511811023623" bottom="0.5905511811023623" header="0" footer="0"/>
  <pageSetup firstPageNumber="0" useFirstPageNumber="1" fitToHeight="0" fitToWidth="1" horizontalDpi="300" verticalDpi="300" orientation="landscape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showOutlineSymbols="0" zoomScalePageLayoutView="0" workbookViewId="0" topLeftCell="A1">
      <selection activeCell="I2" sqref="I2:I3"/>
    </sheetView>
  </sheetViews>
  <sheetFormatPr defaultColWidth="17" defaultRowHeight="15" customHeight="1"/>
  <cols>
    <col min="1" max="1" width="10.19921875" style="0" customWidth="1"/>
    <col min="2" max="2" width="14.3984375" style="0" customWidth="1"/>
    <col min="3" max="3" width="30.3984375" style="0" customWidth="1"/>
    <col min="4" max="4" width="11.19921875" style="0" customWidth="1"/>
    <col min="5" max="5" width="15.59765625" style="0" customWidth="1"/>
    <col min="6" max="6" width="30.3984375" style="0" customWidth="1"/>
    <col min="7" max="7" width="10.19921875" style="0" customWidth="1"/>
    <col min="8" max="8" width="14.3984375" style="0" customWidth="1"/>
    <col min="9" max="9" width="30.3984375" style="0" customWidth="1"/>
  </cols>
  <sheetData>
    <row r="1" spans="1:9" ht="54.75" customHeight="1">
      <c r="A1" s="117" t="s">
        <v>177</v>
      </c>
      <c r="B1" s="82"/>
      <c r="C1" s="82"/>
      <c r="D1" s="82"/>
      <c r="E1" s="82"/>
      <c r="F1" s="82"/>
      <c r="G1" s="82"/>
      <c r="H1" s="82"/>
      <c r="I1" s="82"/>
    </row>
    <row r="2" spans="1:9" ht="15" customHeight="1">
      <c r="A2" s="83" t="s">
        <v>35</v>
      </c>
      <c r="B2" s="75"/>
      <c r="C2" s="80" t="str">
        <f>'Stavební rozpočet'!D2</f>
        <v>Rekonstrukce zdroje tepla v objektu Domov Nýdek</v>
      </c>
      <c r="D2" s="81"/>
      <c r="E2" s="86" t="s">
        <v>480</v>
      </c>
      <c r="F2" s="86" t="str">
        <f>'Stavební rozpočet'!J2</f>
        <v> </v>
      </c>
      <c r="G2" s="75"/>
      <c r="H2" s="86" t="s">
        <v>367</v>
      </c>
      <c r="I2" s="76" t="s">
        <v>392</v>
      </c>
    </row>
    <row r="3" spans="1:9" ht="15" customHeight="1">
      <c r="A3" s="84"/>
      <c r="B3" s="64"/>
      <c r="C3" s="66"/>
      <c r="D3" s="66"/>
      <c r="E3" s="64"/>
      <c r="F3" s="64"/>
      <c r="G3" s="64"/>
      <c r="H3" s="64"/>
      <c r="I3" s="77"/>
    </row>
    <row r="4" spans="1:9" ht="15" customHeight="1">
      <c r="A4" s="85" t="s">
        <v>307</v>
      </c>
      <c r="B4" s="64"/>
      <c r="C4" s="67" t="str">
        <f>'Stavební rozpočet'!D4</f>
        <v>Zdroj tepla</v>
      </c>
      <c r="D4" s="64"/>
      <c r="E4" s="67" t="s">
        <v>389</v>
      </c>
      <c r="F4" s="67" t="str">
        <f>'Stavební rozpočet'!J4</f>
        <v> </v>
      </c>
      <c r="G4" s="64"/>
      <c r="H4" s="67" t="s">
        <v>367</v>
      </c>
      <c r="I4" s="77" t="s">
        <v>392</v>
      </c>
    </row>
    <row r="5" spans="1:9" ht="15" customHeight="1">
      <c r="A5" s="84"/>
      <c r="B5" s="64"/>
      <c r="C5" s="64"/>
      <c r="D5" s="64"/>
      <c r="E5" s="64"/>
      <c r="F5" s="64"/>
      <c r="G5" s="64"/>
      <c r="H5" s="64"/>
      <c r="I5" s="77"/>
    </row>
    <row r="6" spans="1:9" ht="15" customHeight="1">
      <c r="A6" s="85" t="s">
        <v>45</v>
      </c>
      <c r="B6" s="64"/>
      <c r="C6" s="67" t="str">
        <f>'Stavební rozpočet'!D6</f>
        <v>Nýdek</v>
      </c>
      <c r="D6" s="64"/>
      <c r="E6" s="67" t="s">
        <v>499</v>
      </c>
      <c r="F6" s="67" t="str">
        <f>'Stavební rozpočet'!J6</f>
        <v> </v>
      </c>
      <c r="G6" s="64"/>
      <c r="H6" s="67" t="s">
        <v>367</v>
      </c>
      <c r="I6" s="77" t="s">
        <v>392</v>
      </c>
    </row>
    <row r="7" spans="1:9" ht="15" customHeight="1">
      <c r="A7" s="84"/>
      <c r="B7" s="64"/>
      <c r="C7" s="64"/>
      <c r="D7" s="64"/>
      <c r="E7" s="64"/>
      <c r="F7" s="64"/>
      <c r="G7" s="64"/>
      <c r="H7" s="64"/>
      <c r="I7" s="77"/>
    </row>
    <row r="8" spans="1:9" ht="15" customHeight="1">
      <c r="A8" s="85" t="s">
        <v>507</v>
      </c>
      <c r="B8" s="64"/>
      <c r="C8" s="67" t="str">
        <f>'Stavební rozpočet'!H4</f>
        <v> </v>
      </c>
      <c r="D8" s="64"/>
      <c r="E8" s="67" t="s">
        <v>185</v>
      </c>
      <c r="F8" s="67" t="str">
        <f>'Stavební rozpočet'!H6</f>
        <v> </v>
      </c>
      <c r="G8" s="64"/>
      <c r="H8" s="64" t="s">
        <v>583</v>
      </c>
      <c r="I8" s="113">
        <v>169</v>
      </c>
    </row>
    <row r="9" spans="1:9" ht="15" customHeight="1">
      <c r="A9" s="84"/>
      <c r="B9" s="64"/>
      <c r="C9" s="64"/>
      <c r="D9" s="64"/>
      <c r="E9" s="64"/>
      <c r="F9" s="64"/>
      <c r="G9" s="64"/>
      <c r="H9" s="64"/>
      <c r="I9" s="77"/>
    </row>
    <row r="10" spans="1:9" ht="15" customHeight="1">
      <c r="A10" s="85" t="s">
        <v>279</v>
      </c>
      <c r="B10" s="64"/>
      <c r="C10" s="67" t="str">
        <f>'Stavební rozpočet'!D8</f>
        <v> </v>
      </c>
      <c r="D10" s="64"/>
      <c r="E10" s="67" t="s">
        <v>376</v>
      </c>
      <c r="F10" s="67" t="str">
        <f>'Stavební rozpočet'!J8</f>
        <v> </v>
      </c>
      <c r="G10" s="64"/>
      <c r="H10" s="64" t="s">
        <v>556</v>
      </c>
      <c r="I10" s="114" t="str">
        <f>'Stavební rozpočet'!H8</f>
        <v>15.02.2023</v>
      </c>
    </row>
    <row r="11" spans="1:9" ht="15" customHeight="1">
      <c r="A11" s="118"/>
      <c r="B11" s="65"/>
      <c r="C11" s="65"/>
      <c r="D11" s="65"/>
      <c r="E11" s="65"/>
      <c r="F11" s="65"/>
      <c r="G11" s="65"/>
      <c r="H11" s="65"/>
      <c r="I11" s="115"/>
    </row>
    <row r="12" spans="1:9" ht="22.5" customHeight="1">
      <c r="A12" s="116" t="s">
        <v>89</v>
      </c>
      <c r="B12" s="116"/>
      <c r="C12" s="116"/>
      <c r="D12" s="116"/>
      <c r="E12" s="116"/>
      <c r="F12" s="116"/>
      <c r="G12" s="116"/>
      <c r="H12" s="116"/>
      <c r="I12" s="116"/>
    </row>
    <row r="13" spans="1:9" ht="26.25" customHeight="1">
      <c r="A13" s="50" t="s">
        <v>510</v>
      </c>
      <c r="B13" s="108" t="s">
        <v>71</v>
      </c>
      <c r="C13" s="109"/>
      <c r="D13" s="22" t="s">
        <v>100</v>
      </c>
      <c r="E13" s="108" t="s">
        <v>207</v>
      </c>
      <c r="F13" s="109"/>
      <c r="G13" s="22" t="s">
        <v>358</v>
      </c>
      <c r="H13" s="108" t="s">
        <v>103</v>
      </c>
      <c r="I13" s="109"/>
    </row>
    <row r="14" spans="1:9" ht="15" customHeight="1">
      <c r="A14" s="12" t="s">
        <v>213</v>
      </c>
      <c r="B14" s="13" t="s">
        <v>141</v>
      </c>
      <c r="C14" s="28">
        <f>SUM('Stavební rozpočet'!AB12:AB216)</f>
        <v>0</v>
      </c>
      <c r="D14" s="100" t="s">
        <v>406</v>
      </c>
      <c r="E14" s="101"/>
      <c r="F14" s="28">
        <v>0</v>
      </c>
      <c r="G14" s="100" t="s">
        <v>58</v>
      </c>
      <c r="H14" s="101"/>
      <c r="I14" s="28">
        <v>0</v>
      </c>
    </row>
    <row r="15" spans="1:9" ht="15" customHeight="1">
      <c r="A15" s="43" t="s">
        <v>392</v>
      </c>
      <c r="B15" s="13" t="s">
        <v>108</v>
      </c>
      <c r="C15" s="28">
        <f>SUM('Stavební rozpočet'!AC12:AC216)</f>
        <v>0</v>
      </c>
      <c r="D15" s="100" t="s">
        <v>52</v>
      </c>
      <c r="E15" s="101"/>
      <c r="F15" s="28">
        <v>0</v>
      </c>
      <c r="G15" s="100" t="s">
        <v>457</v>
      </c>
      <c r="H15" s="101"/>
      <c r="I15" s="28">
        <v>0</v>
      </c>
    </row>
    <row r="16" spans="1:9" ht="15" customHeight="1">
      <c r="A16" s="12" t="s">
        <v>49</v>
      </c>
      <c r="B16" s="13" t="s">
        <v>141</v>
      </c>
      <c r="C16" s="28">
        <f>SUM('Stavební rozpočet'!AD12:AD216)</f>
        <v>0</v>
      </c>
      <c r="D16" s="100" t="s">
        <v>425</v>
      </c>
      <c r="E16" s="101"/>
      <c r="F16" s="28">
        <v>0</v>
      </c>
      <c r="G16" s="100" t="s">
        <v>549</v>
      </c>
      <c r="H16" s="101"/>
      <c r="I16" s="28">
        <v>0</v>
      </c>
    </row>
    <row r="17" spans="1:9" ht="15" customHeight="1">
      <c r="A17" s="43" t="s">
        <v>392</v>
      </c>
      <c r="B17" s="13" t="s">
        <v>108</v>
      </c>
      <c r="C17" s="28">
        <f>SUM('Stavební rozpočet'!AE12:AE216)</f>
        <v>0</v>
      </c>
      <c r="D17" s="100" t="s">
        <v>392</v>
      </c>
      <c r="E17" s="101"/>
      <c r="F17" s="23" t="s">
        <v>392</v>
      </c>
      <c r="G17" s="100" t="s">
        <v>303</v>
      </c>
      <c r="H17" s="101"/>
      <c r="I17" s="28">
        <v>0</v>
      </c>
    </row>
    <row r="18" spans="1:9" ht="15" customHeight="1">
      <c r="A18" s="12" t="s">
        <v>172</v>
      </c>
      <c r="B18" s="13" t="s">
        <v>141</v>
      </c>
      <c r="C18" s="28">
        <f>SUM('Stavební rozpočet'!AF12:AF216)</f>
        <v>0</v>
      </c>
      <c r="D18" s="100" t="s">
        <v>392</v>
      </c>
      <c r="E18" s="101"/>
      <c r="F18" s="23" t="s">
        <v>392</v>
      </c>
      <c r="G18" s="100" t="s">
        <v>369</v>
      </c>
      <c r="H18" s="101"/>
      <c r="I18" s="28">
        <v>0</v>
      </c>
    </row>
    <row r="19" spans="1:9" ht="15" customHeight="1">
      <c r="A19" s="43" t="s">
        <v>392</v>
      </c>
      <c r="B19" s="13" t="s">
        <v>108</v>
      </c>
      <c r="C19" s="28">
        <f>SUM('Stavební rozpočet'!AG12:AG216)</f>
        <v>0</v>
      </c>
      <c r="D19" s="100" t="s">
        <v>392</v>
      </c>
      <c r="E19" s="101"/>
      <c r="F19" s="23" t="s">
        <v>392</v>
      </c>
      <c r="G19" s="100" t="s">
        <v>567</v>
      </c>
      <c r="H19" s="101"/>
      <c r="I19" s="28">
        <v>0</v>
      </c>
    </row>
    <row r="20" spans="1:9" ht="15" customHeight="1">
      <c r="A20" s="107" t="s">
        <v>37</v>
      </c>
      <c r="B20" s="106"/>
      <c r="C20" s="28">
        <f>SUM('Stavební rozpočet'!AH12:AH216)</f>
        <v>0</v>
      </c>
      <c r="D20" s="100" t="s">
        <v>392</v>
      </c>
      <c r="E20" s="101"/>
      <c r="F20" s="23" t="s">
        <v>392</v>
      </c>
      <c r="G20" s="100" t="s">
        <v>392</v>
      </c>
      <c r="H20" s="101"/>
      <c r="I20" s="23" t="s">
        <v>392</v>
      </c>
    </row>
    <row r="21" spans="1:9" ht="15" customHeight="1">
      <c r="A21" s="110" t="s">
        <v>566</v>
      </c>
      <c r="B21" s="111"/>
      <c r="C21" s="18">
        <f>SUM('Stavební rozpočet'!Z12:Z216)</f>
        <v>0</v>
      </c>
      <c r="D21" s="89" t="s">
        <v>392</v>
      </c>
      <c r="E21" s="102"/>
      <c r="F21" s="15" t="s">
        <v>392</v>
      </c>
      <c r="G21" s="89" t="s">
        <v>392</v>
      </c>
      <c r="H21" s="102"/>
      <c r="I21" s="15" t="s">
        <v>392</v>
      </c>
    </row>
    <row r="22" spans="1:9" ht="16.5" customHeight="1">
      <c r="A22" s="112" t="s">
        <v>111</v>
      </c>
      <c r="B22" s="104"/>
      <c r="C22" s="57">
        <f>SUM(C14:C21)</f>
        <v>0</v>
      </c>
      <c r="D22" s="103" t="s">
        <v>293</v>
      </c>
      <c r="E22" s="104"/>
      <c r="F22" s="57">
        <f>SUM(F14:F21)</f>
        <v>0</v>
      </c>
      <c r="G22" s="103" t="s">
        <v>584</v>
      </c>
      <c r="H22" s="104"/>
      <c r="I22" s="57">
        <f>SUM(I14:I21)</f>
        <v>0</v>
      </c>
    </row>
    <row r="23" spans="4:9" ht="15" customHeight="1">
      <c r="D23" s="107" t="s">
        <v>462</v>
      </c>
      <c r="E23" s="106"/>
      <c r="F23" s="34">
        <v>0</v>
      </c>
      <c r="G23" s="105" t="s">
        <v>27</v>
      </c>
      <c r="H23" s="106"/>
      <c r="I23" s="28">
        <v>0</v>
      </c>
    </row>
    <row r="24" spans="7:9" ht="15" customHeight="1">
      <c r="G24" s="107" t="s">
        <v>390</v>
      </c>
      <c r="H24" s="106"/>
      <c r="I24" s="28">
        <v>0</v>
      </c>
    </row>
    <row r="25" spans="7:9" ht="15" customHeight="1">
      <c r="G25" s="107" t="s">
        <v>443</v>
      </c>
      <c r="H25" s="106"/>
      <c r="I25" s="28">
        <v>0</v>
      </c>
    </row>
    <row r="27" spans="1:3" ht="15" customHeight="1">
      <c r="A27" s="96" t="s">
        <v>230</v>
      </c>
      <c r="B27" s="97"/>
      <c r="C27" s="42">
        <f>SUM('Stavební rozpočet'!AJ12:AJ216)</f>
        <v>0</v>
      </c>
    </row>
    <row r="28" spans="1:9" ht="15" customHeight="1">
      <c r="A28" s="98" t="s">
        <v>9</v>
      </c>
      <c r="B28" s="99"/>
      <c r="C28" s="52">
        <f>SUM('Stavební rozpočet'!AK12:AK216)</f>
        <v>0</v>
      </c>
      <c r="D28" s="97" t="s">
        <v>125</v>
      </c>
      <c r="E28" s="97"/>
      <c r="F28" s="42">
        <f>ROUND(C28*(15/100),2)</f>
        <v>0</v>
      </c>
      <c r="G28" s="97" t="s">
        <v>81</v>
      </c>
      <c r="H28" s="97"/>
      <c r="I28" s="42">
        <f>SUM(C27:C29)</f>
        <v>0</v>
      </c>
    </row>
    <row r="29" spans="1:9" ht="15" customHeight="1">
      <c r="A29" s="98" t="s">
        <v>21</v>
      </c>
      <c r="B29" s="99"/>
      <c r="C29" s="52">
        <f>SUM('Stavební rozpočet'!AL12:AL216)+(F22+I22+F23+I23+I24+I25)</f>
        <v>0</v>
      </c>
      <c r="D29" s="99" t="s">
        <v>431</v>
      </c>
      <c r="E29" s="99"/>
      <c r="F29" s="52">
        <f>ROUND(C29*(21/100),2)</f>
        <v>0</v>
      </c>
      <c r="G29" s="99" t="s">
        <v>226</v>
      </c>
      <c r="H29" s="99"/>
      <c r="I29" s="52">
        <f>SUM(F28:F29)+I28</f>
        <v>0</v>
      </c>
    </row>
    <row r="31" spans="1:9" ht="15" customHeight="1">
      <c r="A31" s="93" t="s">
        <v>6</v>
      </c>
      <c r="B31" s="87"/>
      <c r="C31" s="88"/>
      <c r="D31" s="87" t="s">
        <v>536</v>
      </c>
      <c r="E31" s="87"/>
      <c r="F31" s="88"/>
      <c r="G31" s="87" t="s">
        <v>383</v>
      </c>
      <c r="H31" s="87"/>
      <c r="I31" s="88"/>
    </row>
    <row r="32" spans="1:9" ht="15" customHeight="1">
      <c r="A32" s="94" t="s">
        <v>392</v>
      </c>
      <c r="B32" s="89"/>
      <c r="C32" s="90"/>
      <c r="D32" s="89" t="s">
        <v>392</v>
      </c>
      <c r="E32" s="89"/>
      <c r="F32" s="90"/>
      <c r="G32" s="89" t="s">
        <v>392</v>
      </c>
      <c r="H32" s="89"/>
      <c r="I32" s="90"/>
    </row>
    <row r="33" spans="1:9" ht="15" customHeight="1">
      <c r="A33" s="94" t="s">
        <v>392</v>
      </c>
      <c r="B33" s="89"/>
      <c r="C33" s="90"/>
      <c r="D33" s="89" t="s">
        <v>392</v>
      </c>
      <c r="E33" s="89"/>
      <c r="F33" s="90"/>
      <c r="G33" s="89" t="s">
        <v>392</v>
      </c>
      <c r="H33" s="89"/>
      <c r="I33" s="90"/>
    </row>
    <row r="34" spans="1:9" ht="15" customHeight="1">
      <c r="A34" s="94" t="s">
        <v>392</v>
      </c>
      <c r="B34" s="89"/>
      <c r="C34" s="90"/>
      <c r="D34" s="89" t="s">
        <v>392</v>
      </c>
      <c r="E34" s="89"/>
      <c r="F34" s="90"/>
      <c r="G34" s="89" t="s">
        <v>392</v>
      </c>
      <c r="H34" s="89"/>
      <c r="I34" s="90"/>
    </row>
    <row r="35" spans="1:9" ht="15" customHeight="1">
      <c r="A35" s="95" t="s">
        <v>110</v>
      </c>
      <c r="B35" s="91"/>
      <c r="C35" s="92"/>
      <c r="D35" s="91" t="s">
        <v>110</v>
      </c>
      <c r="E35" s="91"/>
      <c r="F35" s="92"/>
      <c r="G35" s="91" t="s">
        <v>110</v>
      </c>
      <c r="H35" s="91"/>
      <c r="I35" s="92"/>
    </row>
    <row r="36" ht="15" customHeight="1">
      <c r="A36" s="37" t="s">
        <v>44</v>
      </c>
    </row>
    <row r="37" spans="1:9" ht="12.75" customHeight="1">
      <c r="A37" s="67" t="s">
        <v>392</v>
      </c>
      <c r="B37" s="64"/>
      <c r="C37" s="64"/>
      <c r="D37" s="64"/>
      <c r="E37" s="64"/>
      <c r="F37" s="64"/>
      <c r="G37" s="64"/>
      <c r="H37" s="64"/>
      <c r="I37" s="64"/>
    </row>
  </sheetData>
  <sheetProtection/>
  <mergeCells count="83">
    <mergeCell ref="A1:I1"/>
    <mergeCell ref="A2:B3"/>
    <mergeCell ref="A4:B5"/>
    <mergeCell ref="A6:B7"/>
    <mergeCell ref="A8:B9"/>
    <mergeCell ref="A10:B11"/>
    <mergeCell ref="E2:E3"/>
    <mergeCell ref="E4:E5"/>
    <mergeCell ref="E6:E7"/>
    <mergeCell ref="E8:E9"/>
    <mergeCell ref="E10:E11"/>
    <mergeCell ref="C2:D3"/>
    <mergeCell ref="C4:D5"/>
    <mergeCell ref="C6:D7"/>
    <mergeCell ref="C8:D9"/>
    <mergeCell ref="C10:D11"/>
    <mergeCell ref="F10:G11"/>
    <mergeCell ref="H2:H3"/>
    <mergeCell ref="H4:H5"/>
    <mergeCell ref="H6:H7"/>
    <mergeCell ref="H8:H9"/>
    <mergeCell ref="H10:H11"/>
    <mergeCell ref="I2:I3"/>
    <mergeCell ref="I4:I5"/>
    <mergeCell ref="I6:I7"/>
    <mergeCell ref="I8:I9"/>
    <mergeCell ref="I10:I11"/>
    <mergeCell ref="A12:I12"/>
    <mergeCell ref="F2:G3"/>
    <mergeCell ref="F4:G5"/>
    <mergeCell ref="F6:G7"/>
    <mergeCell ref="F8:G9"/>
    <mergeCell ref="B13:C13"/>
    <mergeCell ref="E13:F13"/>
    <mergeCell ref="H13:I13"/>
    <mergeCell ref="A20:B20"/>
    <mergeCell ref="A21:B21"/>
    <mergeCell ref="A22:B22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A27:B27"/>
    <mergeCell ref="A28:B28"/>
    <mergeCell ref="A29:B29"/>
    <mergeCell ref="D28:E28"/>
    <mergeCell ref="D29:E29"/>
    <mergeCell ref="G28:H28"/>
    <mergeCell ref="G29:H29"/>
    <mergeCell ref="A35:C35"/>
    <mergeCell ref="D31:F31"/>
    <mergeCell ref="D32:F32"/>
    <mergeCell ref="D33:F33"/>
    <mergeCell ref="D34:F34"/>
    <mergeCell ref="D35:F35"/>
    <mergeCell ref="G31:I31"/>
    <mergeCell ref="G32:I32"/>
    <mergeCell ref="G33:I33"/>
    <mergeCell ref="G34:I34"/>
    <mergeCell ref="G35:I35"/>
    <mergeCell ref="A37:I37"/>
    <mergeCell ref="A31:C31"/>
    <mergeCell ref="A32:C32"/>
    <mergeCell ref="A33:C33"/>
    <mergeCell ref="A34:C34"/>
  </mergeCells>
  <printOptions horizontalCentered="1"/>
  <pageMargins left="0.3937007874015748" right="0.3937007874015748" top="0.5905511811023623" bottom="0.5905511811023623" header="0" footer="0"/>
  <pageSetup firstPageNumber="0" useFirstPageNumber="1" fitToHeight="1" fitToWidth="1" horizontalDpi="600" verticalDpi="600" orientation="landscape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Administrator</cp:lastModifiedBy>
  <cp:lastPrinted>2023-02-15T09:35:44Z</cp:lastPrinted>
  <dcterms:created xsi:type="dcterms:W3CDTF">2021-06-10T20:06:38Z</dcterms:created>
  <dcterms:modified xsi:type="dcterms:W3CDTF">2023-03-02T09:17:51Z</dcterms:modified>
  <cp:category/>
  <cp:version/>
  <cp:contentType/>
  <cp:contentStatus/>
</cp:coreProperties>
</file>