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2"/>
  </bookViews>
  <sheets>
    <sheet name="Souhrn" sheetId="1" r:id="rId1"/>
    <sheet name="Podrobný výpis - stromy" sheetId="2" r:id="rId2"/>
    <sheet name="rozpočet k ocenění" sheetId="3" r:id="rId3"/>
  </sheets>
  <definedNames/>
  <calcPr fullCalcOnLoad="1"/>
</workbook>
</file>

<file path=xl/sharedStrings.xml><?xml version="1.0" encoding="utf-8"?>
<sst xmlns="http://schemas.openxmlformats.org/spreadsheetml/2006/main" count="7045" uniqueCount="848">
  <si>
    <t>Projekt/Město</t>
  </si>
  <si>
    <t>Skupina ploch</t>
  </si>
  <si>
    <t>Plocha</t>
  </si>
  <si>
    <t>Číslo v ploše</t>
  </si>
  <si>
    <t>RFID</t>
  </si>
  <si>
    <t>Taxon</t>
  </si>
  <si>
    <t>Odkaz do mapy</t>
  </si>
  <si>
    <t>Třinec</t>
  </si>
  <si>
    <t>TŘINEC - STROMY</t>
  </si>
  <si>
    <t>Růžová a Polní ulice</t>
  </si>
  <si>
    <t>Acer platanoides</t>
  </si>
  <si>
    <t>Fraxinus excelsior</t>
  </si>
  <si>
    <t>Dolní Lištná - sídliště</t>
  </si>
  <si>
    <t>Picea abies</t>
  </si>
  <si>
    <t>Acer pseudoplatanus</t>
  </si>
  <si>
    <t>Carpinus betulus</t>
  </si>
  <si>
    <t>Tyršova</t>
  </si>
  <si>
    <t>Acer platanoides ‘Globosum’</t>
  </si>
  <si>
    <t>Chopinova</t>
  </si>
  <si>
    <t>park Větrná</t>
  </si>
  <si>
    <t>Acer pseudoplatanus ‘Purpurascens’</t>
  </si>
  <si>
    <t>Betula pendula</t>
  </si>
  <si>
    <t>Koperníkova - Tyršova</t>
  </si>
  <si>
    <t>Alnus glutinosa</t>
  </si>
  <si>
    <t>Tilia cordata</t>
  </si>
  <si>
    <t>Beskydská - Koperníkova</t>
  </si>
  <si>
    <t>Slezská - Koperníkova</t>
  </si>
  <si>
    <t>Picea pungens</t>
  </si>
  <si>
    <t>Thuja occidentalis</t>
  </si>
  <si>
    <t>Lidická - Lesní</t>
  </si>
  <si>
    <t>Pinus sylvestris</t>
  </si>
  <si>
    <t>Pinus nigra</t>
  </si>
  <si>
    <t>Lesní II</t>
  </si>
  <si>
    <t>Horní</t>
  </si>
  <si>
    <t>Acer negundo ‘Variegatum’</t>
  </si>
  <si>
    <t>Dukelská - východní strana I</t>
  </si>
  <si>
    <t>Dukelská - Krátká</t>
  </si>
  <si>
    <t>T.G.Masaryka - SNP</t>
  </si>
  <si>
    <t>Slezská - Horní</t>
  </si>
  <si>
    <t>Chamaecyparis pisifera ‘Plumosa’</t>
  </si>
  <si>
    <t>Slezská - ZŠ</t>
  </si>
  <si>
    <t>Salix caprea</t>
  </si>
  <si>
    <t>Pseudotsuga menziesii</t>
  </si>
  <si>
    <t>sídl. Erbenova</t>
  </si>
  <si>
    <t>Sorbus aucuparia</t>
  </si>
  <si>
    <t>Sorbus aria</t>
  </si>
  <si>
    <t>Corylus colurna</t>
  </si>
  <si>
    <t>park Kanada</t>
  </si>
  <si>
    <t>park Jablunkovská</t>
  </si>
  <si>
    <t>Palackého strouha - vpravo</t>
  </si>
  <si>
    <t>Palackého strouha  - vlevo</t>
  </si>
  <si>
    <t>Palackého - sídliště</t>
  </si>
  <si>
    <t>Náměstí T. G. Masaryka</t>
  </si>
  <si>
    <t>Cerasus sargentii ‘Accolade’</t>
  </si>
  <si>
    <t>Lidická - u čerpací stanice</t>
  </si>
  <si>
    <t>Salix x erythroflexuosa</t>
  </si>
  <si>
    <t>Lidická - Tyršova</t>
  </si>
  <si>
    <t>Padus avium</t>
  </si>
  <si>
    <t>Lidická</t>
  </si>
  <si>
    <t>Lidická - garáže</t>
  </si>
  <si>
    <t>Komenského - sídliště - pravá strana</t>
  </si>
  <si>
    <t>Laburnum anagyroides</t>
  </si>
  <si>
    <t>Sambucus nigra</t>
  </si>
  <si>
    <t>Jablunkovská</t>
  </si>
  <si>
    <t>Boženy Němcové - potok</t>
  </si>
  <si>
    <t>Juglans regia</t>
  </si>
  <si>
    <t>Dukelská - východní strana II</t>
  </si>
  <si>
    <t>Picea omorika</t>
  </si>
  <si>
    <t>Dukelská - stromy ve svahu</t>
  </si>
  <si>
    <t>312326</t>
  </si>
  <si>
    <t>Cerasus avium</t>
  </si>
  <si>
    <t>312197</t>
  </si>
  <si>
    <t>Picea pungens ‘Glauca’</t>
  </si>
  <si>
    <t>Seifertova - Lidická</t>
  </si>
  <si>
    <t>park Lidická</t>
  </si>
  <si>
    <t>Okružní</t>
  </si>
  <si>
    <t>Nerudova - 17.listopadu - obytné domy</t>
  </si>
  <si>
    <t>Cerasus sargentii</t>
  </si>
  <si>
    <t>Lidická - stromy ve svahu</t>
  </si>
  <si>
    <t>312248</t>
  </si>
  <si>
    <t>312228</t>
  </si>
  <si>
    <t>Koperníkova - kpt.Nálepky</t>
  </si>
  <si>
    <t>Kino - Kosmos</t>
  </si>
  <si>
    <t>Aesculus x carnea ‘Briotii’</t>
  </si>
  <si>
    <t>Lidická - východní strana</t>
  </si>
  <si>
    <t>Tyršova - u stadionu</t>
  </si>
  <si>
    <t>312218</t>
  </si>
  <si>
    <t>Prunus insititia</t>
  </si>
  <si>
    <t>312208</t>
  </si>
  <si>
    <t>312216</t>
  </si>
  <si>
    <t>312254</t>
  </si>
  <si>
    <t>Quercus robur</t>
  </si>
  <si>
    <t>Platanus x hispanica</t>
  </si>
  <si>
    <t>Prunus  sp.</t>
  </si>
  <si>
    <t>Prunus cerasifera</t>
  </si>
  <si>
    <t>294214</t>
  </si>
  <si>
    <t>294213</t>
  </si>
  <si>
    <t>294203</t>
  </si>
  <si>
    <t>294228</t>
  </si>
  <si>
    <t>294225</t>
  </si>
  <si>
    <t>294224</t>
  </si>
  <si>
    <t>Dukelská - Seifertova</t>
  </si>
  <si>
    <t>Seifertova</t>
  </si>
  <si>
    <t>Lánská - parčík</t>
  </si>
  <si>
    <t>Prunus domestica</t>
  </si>
  <si>
    <t>Fraxinus pennsylvanica</t>
  </si>
  <si>
    <t>Juniperus communis ‘Hibernica’</t>
  </si>
  <si>
    <t>Přátelství</t>
  </si>
  <si>
    <t>Robinia pseudoacacia</t>
  </si>
  <si>
    <t>1. Máje</t>
  </si>
  <si>
    <t>Jablunkovská - parčík u MÚ</t>
  </si>
  <si>
    <t>Fraxinus excelsior ‘Nana’</t>
  </si>
  <si>
    <t>Rhus typhina</t>
  </si>
  <si>
    <t>Corylus avellana</t>
  </si>
  <si>
    <t>Malus  sp.</t>
  </si>
  <si>
    <t>SNP - Chopinova</t>
  </si>
  <si>
    <t>Janáčkova - Boženy Němcové</t>
  </si>
  <si>
    <t>Pyrus communis</t>
  </si>
  <si>
    <t>Sorbus aucuparia ‘Edulis’</t>
  </si>
  <si>
    <t>Slezská</t>
  </si>
  <si>
    <t>Nádražní - před školou</t>
  </si>
  <si>
    <t>Larix decidua</t>
  </si>
  <si>
    <t>Nádražní x Hřbitovní - za školou</t>
  </si>
  <si>
    <t>Jablunkovská - parčík za MÚ</t>
  </si>
  <si>
    <t>B. Němcové - u školy</t>
  </si>
  <si>
    <t>Abies nordmanniana</t>
  </si>
  <si>
    <t>Okolí nádraží</t>
  </si>
  <si>
    <t>Lesní</t>
  </si>
  <si>
    <t>Acer ginnala</t>
  </si>
  <si>
    <t>Prunus cerasifera ‘Nigra’</t>
  </si>
  <si>
    <t>Alnus incana</t>
  </si>
  <si>
    <t>Cerasus serrulata ‘Kanzan’</t>
  </si>
  <si>
    <t>Ulmus glabra</t>
  </si>
  <si>
    <t>Aesculus hippocastanum</t>
  </si>
  <si>
    <t>Thuja plicata</t>
  </si>
  <si>
    <t>Palackého - garáže</t>
  </si>
  <si>
    <t>Salix alba</t>
  </si>
  <si>
    <t>Nádražní - před rybníkem</t>
  </si>
  <si>
    <t>Betula nigra</t>
  </si>
  <si>
    <t>Koperníkova</t>
  </si>
  <si>
    <t>Komenského -obytný dům</t>
  </si>
  <si>
    <t>Komenského</t>
  </si>
  <si>
    <t>Populus simonii ‘Fastigiata’</t>
  </si>
  <si>
    <t>Číslo</t>
  </si>
  <si>
    <t>Taxon lat.</t>
  </si>
  <si>
    <t>Taxon čes.</t>
  </si>
  <si>
    <t>Průměr kmene 1</t>
  </si>
  <si>
    <t>Průměr kmene 2</t>
  </si>
  <si>
    <t>Průměr kmene 3</t>
  </si>
  <si>
    <t>Průměr kmene 4</t>
  </si>
  <si>
    <t>Obvod kmene 1</t>
  </si>
  <si>
    <t>Obvod kmene 2</t>
  </si>
  <si>
    <t>Obvod kmene 3</t>
  </si>
  <si>
    <t>Obvod kmene 4</t>
  </si>
  <si>
    <t>Výška</t>
  </si>
  <si>
    <t>Spodní okraj koruny</t>
  </si>
  <si>
    <t>Průměr koruny</t>
  </si>
  <si>
    <t>Zdravotní stav - popis</t>
  </si>
  <si>
    <t>Poznámka</t>
  </si>
  <si>
    <t>Katastrální území</t>
  </si>
  <si>
    <t>Parcelní číslo</t>
  </si>
  <si>
    <t>Technologie</t>
  </si>
  <si>
    <t>Technologie - popis</t>
  </si>
  <si>
    <t>Opakování</t>
  </si>
  <si>
    <t>Poznámka k práci</t>
  </si>
  <si>
    <t>javor mléčný</t>
  </si>
  <si>
    <t>zhoršený</t>
  </si>
  <si>
    <t>Nálet. Roste na nevhodném místě.</t>
  </si>
  <si>
    <t>930/3</t>
  </si>
  <si>
    <t>S-KV</t>
  </si>
  <si>
    <t>Kácení stromů volné</t>
  </si>
  <si>
    <t>S-OF</t>
  </si>
  <si>
    <t>Odstranění pařezu frézováním</t>
  </si>
  <si>
    <t>jasan ztepilý</t>
  </si>
  <si>
    <t>Vícekmen. Nálet. Roste na nevhodném místě.</t>
  </si>
  <si>
    <t>smrk ztepilý</t>
  </si>
  <si>
    <t>Infekce kmene.</t>
  </si>
  <si>
    <t>Dolní Líštná</t>
  </si>
  <si>
    <t>450/104</t>
  </si>
  <si>
    <t>výborný až dobrý</t>
  </si>
  <si>
    <t>javor horský</t>
  </si>
  <si>
    <t>výrazně zhoršený</t>
  </si>
  <si>
    <t>Rozvolnění skupiny. Defektní větvení.</t>
  </si>
  <si>
    <t>habr obecný</t>
  </si>
  <si>
    <t>Infekce báze kmene.</t>
  </si>
  <si>
    <t>javor mléčný ‘Globosum’</t>
  </si>
  <si>
    <t>Dynamicky prosychá.</t>
  </si>
  <si>
    <t>1410/7</t>
  </si>
  <si>
    <t>Infekce kosterního větvení.</t>
  </si>
  <si>
    <t>Lyžbice</t>
  </si>
  <si>
    <t>2096</t>
  </si>
  <si>
    <t>S-KPV</t>
  </si>
  <si>
    <t>Postupné kácení s volnou dopadovou plochou</t>
  </si>
  <si>
    <t>Roste těsně u plotu.</t>
  </si>
  <si>
    <t>1487/1</t>
  </si>
  <si>
    <t>javor horský ‘Purpurascens’</t>
  </si>
  <si>
    <t>Rozvolnění skupiny.</t>
  </si>
  <si>
    <t>bříza bělokorá</t>
  </si>
  <si>
    <t>olše lepkavá</t>
  </si>
  <si>
    <t>Potlačený jedinec. Rozvolnění skupiny.</t>
  </si>
  <si>
    <t>lípa malolistá</t>
  </si>
  <si>
    <t>Bez vrcholu. Defektní kmen.</t>
  </si>
  <si>
    <t xml:space="preserve">Poškozené kořeny - sledovat. Zavěšená větev. </t>
  </si>
  <si>
    <t>3080/1</t>
  </si>
  <si>
    <t>smrk pichlavý</t>
  </si>
  <si>
    <t>Žloutnou jehlice, pokud bude pokračovat - pokácet.</t>
  </si>
  <si>
    <t>3121/1</t>
  </si>
  <si>
    <t>túje západní</t>
  </si>
  <si>
    <t>Nakloněný kmen.</t>
  </si>
  <si>
    <t>2592</t>
  </si>
  <si>
    <t>1317</t>
  </si>
  <si>
    <t>borovice lesní</t>
  </si>
  <si>
    <t>561/6</t>
  </si>
  <si>
    <t>borovice černá</t>
  </si>
  <si>
    <t>Rozvolnění skupiny. Tlaková vidlice v kosterním větvení.</t>
  </si>
  <si>
    <t>1469/2</t>
  </si>
  <si>
    <t>Tlaková vidlice od báze. Poškození kořenů.</t>
  </si>
  <si>
    <t>3145</t>
  </si>
  <si>
    <t>S-KSP</t>
  </si>
  <si>
    <t>Kácení stromů s přetažením</t>
  </si>
  <si>
    <t>javor jasanolistý ‘Variegatum’</t>
  </si>
  <si>
    <t>Poškození báze kmene. Nakloněný kmen.</t>
  </si>
  <si>
    <t>561/11</t>
  </si>
  <si>
    <t>2474</t>
  </si>
  <si>
    <t>S-KPP</t>
  </si>
  <si>
    <t>Postupné kácení s překážkou v dopadové ploše</t>
  </si>
  <si>
    <t>Rozvolnění skupiny. Potlačený jedinec.</t>
  </si>
  <si>
    <t>Rozvolnění skupiny. Nakloněný kmen. Potlačený jedinec.</t>
  </si>
  <si>
    <t>Bez vrcholu. Poškození kořenů. Defekt kmene.</t>
  </si>
  <si>
    <t>2475/1</t>
  </si>
  <si>
    <t>Rozvolnění skupiny. Tlaková vidlice od báze vyvíjející se.</t>
  </si>
  <si>
    <t>2600/16</t>
  </si>
  <si>
    <t>Rozvolnění skupiny. Nakloněný kmen.</t>
  </si>
  <si>
    <t>Tlaková vidlice od báze.</t>
  </si>
  <si>
    <t>715/1</t>
  </si>
  <si>
    <t>cypřišek hrachonosný ‘Plumosa’</t>
  </si>
  <si>
    <t>Napolo vyvrácený z minulosti.</t>
  </si>
  <si>
    <t>3144/1</t>
  </si>
  <si>
    <t>vrba jíva</t>
  </si>
  <si>
    <t>Nevhodná struktura větvení.</t>
  </si>
  <si>
    <t>3130/1</t>
  </si>
  <si>
    <t>douglaska tisolistá</t>
  </si>
  <si>
    <t>jeřáb ptačí</t>
  </si>
  <si>
    <t>Infekce kmenů.</t>
  </si>
  <si>
    <t>1235/1</t>
  </si>
  <si>
    <t>jeřáb muk</t>
  </si>
  <si>
    <t xml:space="preserve">Korní spála. Infekce kmene. Vyměnit. </t>
  </si>
  <si>
    <t>1235/4</t>
  </si>
  <si>
    <t>líska turecká</t>
  </si>
  <si>
    <t>Přeštíhlený kmen, příliš hustý zápoj. Rozvolnění skupiny.</t>
  </si>
  <si>
    <t>Konská</t>
  </si>
  <si>
    <t>2224</t>
  </si>
  <si>
    <t>Rozvolnění skupiny. Infekce báze kmene. Podezření na infekci kořenů.</t>
  </si>
  <si>
    <t>1235/3</t>
  </si>
  <si>
    <t>435/1</t>
  </si>
  <si>
    <t>554/1</t>
  </si>
  <si>
    <t>Nevhodné místo.  Poškození kořenů.</t>
  </si>
  <si>
    <t>2081/5</t>
  </si>
  <si>
    <t>trešen Sargentova ‘Accolade’</t>
  </si>
  <si>
    <t>vrba argentinská</t>
  </si>
  <si>
    <t>1277/1</t>
  </si>
  <si>
    <t>střemcha obecná</t>
  </si>
  <si>
    <t>Zlomená větev. Vysoké těžiště. Infekce báze kmene.</t>
  </si>
  <si>
    <t>1231/1</t>
  </si>
  <si>
    <t>5</t>
  </si>
  <si>
    <t>Infekce báze kmene. Vysoké těžiště.</t>
  </si>
  <si>
    <t>Defektní větvení. Nálet.  Veřejná technická infrastruktura (VTI) v koruně.</t>
  </si>
  <si>
    <t>1283/3</t>
  </si>
  <si>
    <t>Infekce báze kmene. Defektní větvení.</t>
  </si>
  <si>
    <t>1230/3</t>
  </si>
  <si>
    <t>štědřenec odvislý</t>
  </si>
  <si>
    <t>3315</t>
  </si>
  <si>
    <t>bez černý</t>
  </si>
  <si>
    <t>Nakloněný kmen. Trhliny.</t>
  </si>
  <si>
    <t>757/1</t>
  </si>
  <si>
    <t>448/2</t>
  </si>
  <si>
    <t>437</t>
  </si>
  <si>
    <t>Zlomený vrchol. Potlačený jedinec.</t>
  </si>
  <si>
    <t>438/1</t>
  </si>
  <si>
    <t>3146</t>
  </si>
  <si>
    <t>ořešák královský</t>
  </si>
  <si>
    <t>Nálet. Nevhodné místo.</t>
  </si>
  <si>
    <t>463/8</t>
  </si>
  <si>
    <t>Tlaková vidlice od báze. Rozvolnění skupiny.</t>
  </si>
  <si>
    <t>smrk omorika</t>
  </si>
  <si>
    <t>třešeň ptačí</t>
  </si>
  <si>
    <t>2098/2</t>
  </si>
  <si>
    <t>695</t>
  </si>
  <si>
    <t>Tlaková vidlice v koruně. Potlačený jedinec. Rozvolnění skupiny.</t>
  </si>
  <si>
    <t>Silné suché větve v koruně. Infekce větví. Defektní větvení. Infekce báze kmene.</t>
  </si>
  <si>
    <t>2565/1</t>
  </si>
  <si>
    <t>Žloutnou jehlice. Rozvolnění skupiny.</t>
  </si>
  <si>
    <t>smrk pichlavý ‘Glauca’</t>
  </si>
  <si>
    <t xml:space="preserve">Žloutne jehličí - pokles vitality. Sledovat vitalitu. </t>
  </si>
  <si>
    <t>Nahradit - odumřelá výsadba.</t>
  </si>
  <si>
    <t>1238/1</t>
  </si>
  <si>
    <t>Zcela odumřelý.</t>
  </si>
  <si>
    <t>Silné suché větve v koruně.  Z větší části odumřelý.</t>
  </si>
  <si>
    <t>3206/1</t>
  </si>
  <si>
    <t>Obrůstá břečťanem. Silné suché větve v koruně. Dynamicky prosychá. Vysoké těžiště.</t>
  </si>
  <si>
    <t>1241/1</t>
  </si>
  <si>
    <t>silně narušený</t>
  </si>
  <si>
    <t>Infekce báze kmene. Podezření na infekci kořenů.</t>
  </si>
  <si>
    <t>1132/2</t>
  </si>
  <si>
    <t>trešen Sargentova</t>
  </si>
  <si>
    <t>Z větší části odumřelý.</t>
  </si>
  <si>
    <t>2487</t>
  </si>
  <si>
    <t>2492/1</t>
  </si>
  <si>
    <t>Infekce báze kmene.  Zcela odumřelý.</t>
  </si>
  <si>
    <t>Nevhodná struktura větvení. Dynamicky prosychá. Infekce kmene.</t>
  </si>
  <si>
    <t>2512</t>
  </si>
  <si>
    <t>2485</t>
  </si>
  <si>
    <t>3124/1</t>
  </si>
  <si>
    <t>jírovec pleťový ‘Briotii’</t>
  </si>
  <si>
    <t>2629/1</t>
  </si>
  <si>
    <t>Zastíněná. Potlačený jedinec.</t>
  </si>
  <si>
    <t>1376/48</t>
  </si>
  <si>
    <t>1413/7</t>
  </si>
  <si>
    <t>Rozvolnění skupiny. Infekce kmene. Nakloněný kmen.</t>
  </si>
  <si>
    <t>2082/1</t>
  </si>
  <si>
    <t>slivoň obecná</t>
  </si>
  <si>
    <t>Infekce kmene. Defektní větvení.</t>
  </si>
  <si>
    <t>Předpoklad poškození kořenového systému
Nevhodná struktura větvení.</t>
  </si>
  <si>
    <t>dub letní</t>
  </si>
  <si>
    <t>Poškození kmene. Potlačený.</t>
  </si>
  <si>
    <t>Křivý kmen. Rozvolnění skupiny.</t>
  </si>
  <si>
    <t>Infekce báze kmene. Nakloněný kmen. Zcela odumřelý.</t>
  </si>
  <si>
    <t>2539</t>
  </si>
  <si>
    <t xml:space="preserve">Křivý kmen. </t>
  </si>
  <si>
    <t>platan javorolistý</t>
  </si>
  <si>
    <t>slivoň</t>
  </si>
  <si>
    <t>2524</t>
  </si>
  <si>
    <t>slivoň třešňová</t>
  </si>
  <si>
    <t>Rozvolnění řady.</t>
  </si>
  <si>
    <t>2560/1</t>
  </si>
  <si>
    <t>Dutina ve kmeni. Infekce kmene.</t>
  </si>
  <si>
    <t>Dutina ve kmeni. Infekce báze kmene. Infekce kmene.</t>
  </si>
  <si>
    <t>Infekce kmene. Infekce báze kmene. Podezření na infekci kořenů.</t>
  </si>
  <si>
    <t>Dutina ve kmeni. Rozsáhlá infekce kmene. Infekce báze kmene.</t>
  </si>
  <si>
    <t>Dutina ve kmeni. Asymetrická koruna. Rozsáhlá infekce kmene.</t>
  </si>
  <si>
    <t>Asymetrická koruna. Nakloněný kmen. Infekce kmene.</t>
  </si>
  <si>
    <t>2457/1</t>
  </si>
  <si>
    <t>Přeštíhlená koruna. Rozvolnění skupiny.</t>
  </si>
  <si>
    <t>3215/1</t>
  </si>
  <si>
    <t>slivoň domácí</t>
  </si>
  <si>
    <t>2432</t>
  </si>
  <si>
    <t>jasan pensylvánský</t>
  </si>
  <si>
    <t>jalovec obecný ‘Hibernica’</t>
  </si>
  <si>
    <t>Defektní větvení. Infekce báze kmene.</t>
  </si>
  <si>
    <t>1162/3</t>
  </si>
  <si>
    <t>757/2</t>
  </si>
  <si>
    <t>trnovník bílý</t>
  </si>
  <si>
    <t>Výsadba VII/2008 - Šimková. (asi i 83,85
Tlaková vidlice v kosterním větvení.
Infekce kmene.</t>
  </si>
  <si>
    <t>2207/4</t>
  </si>
  <si>
    <t>3214/1</t>
  </si>
  <si>
    <t>Infekce báze kmene. Nevhodná struktura větvení.</t>
  </si>
  <si>
    <t>Suchý vrchol. Podezření na infekci kořenů. Velké řezné rány. Zavěšená větev.</t>
  </si>
  <si>
    <t>926/11</t>
  </si>
  <si>
    <t>561/8</t>
  </si>
  <si>
    <t>Rozvolnění skupiny. Zavěšená větev v koruně.</t>
  </si>
  <si>
    <t>Rozvolnění skupiny. Infekce kmene.</t>
  </si>
  <si>
    <t>560/1</t>
  </si>
  <si>
    <t>jasan ztepilý ‘Nana’</t>
  </si>
  <si>
    <t xml:space="preserve">Infekce kmene. Defekt roubu. Vyměnit. </t>
  </si>
  <si>
    <t xml:space="preserve">Asymetrická koruna. Křivý kmen. </t>
  </si>
  <si>
    <t>Nálet. Potlačený.  Rozvolnění skupiny.</t>
  </si>
  <si>
    <t>Infekce kmene. Rozvolnění skupiny.</t>
  </si>
  <si>
    <t xml:space="preserve">Rozvolnění skupiny. Křivý kmen. </t>
  </si>
  <si>
    <t>Defektní větvení. Infekce kmene.</t>
  </si>
  <si>
    <t>Potlačený jedinec. Infekce báze kmene.</t>
  </si>
  <si>
    <t>Rozvolnění skupiny. Potlačený.</t>
  </si>
  <si>
    <t>Rozvolnění skupiny. Tlaková vidlice od báze.</t>
  </si>
  <si>
    <t xml:space="preserve">Nakloněný kmen. Vyměnit. </t>
  </si>
  <si>
    <t>2601</t>
  </si>
  <si>
    <t>Sekundární koruna. Infekce větví.</t>
  </si>
  <si>
    <t>2593</t>
  </si>
  <si>
    <t>škumpa orobincová</t>
  </si>
  <si>
    <t>Potlačený jedinec.</t>
  </si>
  <si>
    <t>Defektní větvení.</t>
  </si>
  <si>
    <t>Dynamicky prosychá. Potlačený jedinec.</t>
  </si>
  <si>
    <t>líska obecná</t>
  </si>
  <si>
    <t>jabloň</t>
  </si>
  <si>
    <t>Infekce báze kmeneů.</t>
  </si>
  <si>
    <t>3195</t>
  </si>
  <si>
    <t>3257/1</t>
  </si>
  <si>
    <t>Nakloněný kmen. Nevhodná struktura větvení.</t>
  </si>
  <si>
    <t>524</t>
  </si>
  <si>
    <t>520</t>
  </si>
  <si>
    <t>Asymetrická koruna. Potlačený jedinec.</t>
  </si>
  <si>
    <t>Nakloněný kmen. Rozvolnění skupiny.</t>
  </si>
  <si>
    <t>Infekce báze kmene.  Infekce kmene. Podezření na infekci kořenů. Z větší části odumřelý.</t>
  </si>
  <si>
    <t>504/1</t>
  </si>
  <si>
    <t>496</t>
  </si>
  <si>
    <t>hrušeň obecná</t>
  </si>
  <si>
    <t>Ulomená větev.</t>
  </si>
  <si>
    <t>509</t>
  </si>
  <si>
    <t>Tlaková vidlice od báze vyvíjející se. Rozvolnění skupiny.</t>
  </si>
  <si>
    <t>Poškození báze kmene.</t>
  </si>
  <si>
    <t>Defektní větvení. Dynamicky prosychá. Podezření na infekci kořenů.</t>
  </si>
  <si>
    <t>Prosychá.</t>
  </si>
  <si>
    <t>jeřáb ptačí ‘Edulis’</t>
  </si>
  <si>
    <t xml:space="preserve">Infekce kmene. Infekce větví. Prosychá. </t>
  </si>
  <si>
    <t>2566</t>
  </si>
  <si>
    <t>Rozsáhlá infekce kmene.</t>
  </si>
  <si>
    <t>Infekce kosterního větvení. Rozvolnění skupiny.</t>
  </si>
  <si>
    <t>3132</t>
  </si>
  <si>
    <t>2543/1</t>
  </si>
  <si>
    <t>modřín opadavý</t>
  </si>
  <si>
    <t xml:space="preserve">Suchý vrchol. </t>
  </si>
  <si>
    <t>243/1</t>
  </si>
  <si>
    <t>Tlaková vidlice v koruně. Infekce kmene.</t>
  </si>
  <si>
    <t>561/9</t>
  </si>
  <si>
    <t xml:space="preserve">Bez vrcholu. </t>
  </si>
  <si>
    <t>Veřejná technická infrastruktura (VTI) v koruně.</t>
  </si>
  <si>
    <t>Infekce kmene. Velké řezné rány.</t>
  </si>
  <si>
    <t>211</t>
  </si>
  <si>
    <t>Silné suché větve v koruně. Asymetrická koruna. Infekce kmene.</t>
  </si>
  <si>
    <t>1410/11</t>
  </si>
  <si>
    <t>Asymetrická koruna. Dynamicky prosychá. Trhliny. Infekce kosterního větvení.</t>
  </si>
  <si>
    <t>918/7</t>
  </si>
  <si>
    <t>Rozvolnění skupiny. Infekce báze kmene.</t>
  </si>
  <si>
    <t>455/1</t>
  </si>
  <si>
    <t>443/2</t>
  </si>
  <si>
    <t>Tlaková vidlice od báze vyvíjející se.</t>
  </si>
  <si>
    <t>jedle kavkazská</t>
  </si>
  <si>
    <t>429</t>
  </si>
  <si>
    <t xml:space="preserve">Infekce báze. Křivý kmen. </t>
  </si>
  <si>
    <t>Rozvolnění skupiny. Nakloněný kmen. Infekce báze kmene.</t>
  </si>
  <si>
    <t xml:space="preserve">Rozvolnění skupiny. Infekce báze kmene. Vysoké těžiště. </t>
  </si>
  <si>
    <t>Roste skrze plot.</t>
  </si>
  <si>
    <t>Poškození kořenů.</t>
  </si>
  <si>
    <t>719/1</t>
  </si>
  <si>
    <t>S-OS</t>
  </si>
  <si>
    <t>Odstranění pařezu seříznutím</t>
  </si>
  <si>
    <t>Roste těsně u plotu. Infekce kmene. Nakloněný kmen.</t>
  </si>
  <si>
    <t>Roste těsně u plotu. Infekce kmene.  Tlaková vidlice od báze.</t>
  </si>
  <si>
    <t>Roste těsně u plotu. Tlaková vidlice od báze.</t>
  </si>
  <si>
    <t>Roste těsně u plotu. Suchý vrchol.</t>
  </si>
  <si>
    <t>Infekce báze.</t>
  </si>
  <si>
    <t>2508</t>
  </si>
  <si>
    <t>2514/1</t>
  </si>
  <si>
    <t>javor ginnala</t>
  </si>
  <si>
    <t>slivoň třešňová ‘Nigra’</t>
  </si>
  <si>
    <t>Rozvolnění skupiny. Infekce kmene. Infekce větví. Potlačený jedinec.</t>
  </si>
  <si>
    <t>olše šedá</t>
  </si>
  <si>
    <t>Dynamicky prosychá. Infekce báze kmene. Infekce kmene.</t>
  </si>
  <si>
    <t>Infekce báze kmene. Dynamicky prosychá.</t>
  </si>
  <si>
    <t>Přeštíhlená koruna. Vyvíjející se tlaková vidlice od báze.</t>
  </si>
  <si>
    <t xml:space="preserve">Rozvolnění skupiny. Vysoké těžiště. </t>
  </si>
  <si>
    <t>Infekce kmene. Bakteriální výtok.</t>
  </si>
  <si>
    <t>Jmelí v koruně. Vysoké těžiště.</t>
  </si>
  <si>
    <t>1235/25</t>
  </si>
  <si>
    <t>Infekce tlakové vidlice v koruně. Trhliny.</t>
  </si>
  <si>
    <t>třešeň pilovitá ‘Kanzan’</t>
  </si>
  <si>
    <t>Infekce kosterního větvení. Trhliny. Tlaková vidlice v kosterním větvení. Infekce větví.</t>
  </si>
  <si>
    <t>2506</t>
  </si>
  <si>
    <t>Rozvolnění skupiny. Podezření na infekci kořenů. Dynamicky prosychá. Silné suché větve v koruně.</t>
  </si>
  <si>
    <t>Poškozené kořenové náběhy. Poškozené kořeny. Nakloněný kmen.</t>
  </si>
  <si>
    <t>Tlaková vidlice s trhlinou. Infekce větví.</t>
  </si>
  <si>
    <t>Tlaková vidlice v kosterním větvení. Trhlina.</t>
  </si>
  <si>
    <t>Dynamicky prosychá. Defektní větvení.</t>
  </si>
  <si>
    <t>jilm horský</t>
  </si>
  <si>
    <t>Nevhodná struktura větvení. Rozvolnění skupiny.</t>
  </si>
  <si>
    <t>Dynamicky prosychá. Infekce báze kmene. Podezření na infekci kořenů.</t>
  </si>
  <si>
    <t>jírovec maďal</t>
  </si>
  <si>
    <t>Infekce kmene. Bakteriální výtok. Dutina ve kmeni. Infekce báze kmene.</t>
  </si>
  <si>
    <t>Náklon jednoho z hlavních kmenů. 
 Vyvíjející se tlaková vidlice od báze.
 Infekce kmene.</t>
  </si>
  <si>
    <t>2230</t>
  </si>
  <si>
    <t>túje obrovská</t>
  </si>
  <si>
    <t xml:space="preserve">Defektní větvení. Jeden vrchol uschnul. </t>
  </si>
  <si>
    <t xml:space="preserve">Roste v plotu. Zarůstající pletivo. </t>
  </si>
  <si>
    <t>vrba bílá</t>
  </si>
  <si>
    <t>457/2</t>
  </si>
  <si>
    <t>Rozvolnění skupiny. Bez vrcholu.  Nakloněný kmen.</t>
  </si>
  <si>
    <t>Infekce báze kmene. Silné suché větve v koruně.</t>
  </si>
  <si>
    <t>268/1</t>
  </si>
  <si>
    <t>Infekce kmene. Trhliny. Defektní větvení.</t>
  </si>
  <si>
    <t xml:space="preserve">Infekce kmene. Zlomený vrchol. </t>
  </si>
  <si>
    <t>Infekce kosterního větvení. Tlaková vidlice v kosterním větvení.</t>
  </si>
  <si>
    <t>Roste těsně u garáže. Tlaková vidlice v kosterním větvení.</t>
  </si>
  <si>
    <t>Úmyslně poškozená báze kmene. Infekce báze kmene.</t>
  </si>
  <si>
    <t>Vykloněný, zahrnutá báze.</t>
  </si>
  <si>
    <t>1343/62</t>
  </si>
  <si>
    <t>Dvojkmen s vyvíjející se tlakovou vidlicí od báze.</t>
  </si>
  <si>
    <t>2542</t>
  </si>
  <si>
    <t>Poškozené kořeny. Podezření na infekci kořenů.</t>
  </si>
  <si>
    <t>Rozvolnění skupiny. Vysoké těžiště.</t>
  </si>
  <si>
    <t>Infekce kmene. Infekce báze kmene. Rozvolnění skupiny.</t>
  </si>
  <si>
    <t>Rozvolnění skupiny. Bez vrcholu.</t>
  </si>
  <si>
    <t>bříza černá</t>
  </si>
  <si>
    <t>Poškozené kořeny. Infekce kmene. Rozvolnění skupiny.</t>
  </si>
  <si>
    <t>Nakloněný kmen. Poškození kořenů.</t>
  </si>
  <si>
    <t>2561</t>
  </si>
  <si>
    <t>Infekce kosterního větvení. Silné suché větve v koruně.</t>
  </si>
  <si>
    <t>2520/1</t>
  </si>
  <si>
    <t>Zlomený vrchol.  Asymetrická koruna.</t>
  </si>
  <si>
    <t>3297/1</t>
  </si>
  <si>
    <t>Tlaková vidlice v kosterním větvení s trhlinou. Vysoké těžiště. Infekce báze kmene.</t>
  </si>
  <si>
    <t>Roste blízko domu. Asymetrická koruna.</t>
  </si>
  <si>
    <t>2520/3</t>
  </si>
  <si>
    <t>Poškozené kořeny. Podezření na infekci kořenů. Křivý kmen.  Infekce kmene.</t>
  </si>
  <si>
    <t>topol Simonův ‘Fastigiata’</t>
  </si>
  <si>
    <t>Poškození kořenů. Infekce báze kmene. Podezření na infekci kořenů.</t>
  </si>
  <si>
    <t>Poškození kořenů. Podezření na infekci kořenů.</t>
  </si>
  <si>
    <t>Podezření na infekci kořenů. Poškození kořenů.</t>
  </si>
  <si>
    <t>Infekce báze kmene. Infekce kmene.</t>
  </si>
  <si>
    <t xml:space="preserve">Infekce báze kmene. Nakloněný kmen. Nádory. </t>
  </si>
  <si>
    <t>Poškození kořenů. Podezření na infekci kořenů. Dynamicky prosychá. Silné suché větve v koruně.</t>
  </si>
  <si>
    <t>Infekce báze kmene. Infekce kmene. Tlaková vidlice v koruně.</t>
  </si>
  <si>
    <t>452/2</t>
  </si>
  <si>
    <t>Infekce kosterního větvení. Defektní větvení.</t>
  </si>
  <si>
    <t>Nevhodná struktura větvení. Dynamicky prosychá.</t>
  </si>
  <si>
    <t>Poškozené kořenové náběhy. Tlaková vidlice v kosterním větvení. Infekce báze kmene. Infekce kosterního větvení.</t>
  </si>
  <si>
    <t>Nevhodná struktura větvení. Sekundární koruna.</t>
  </si>
  <si>
    <t>Pořadové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</si>
  <si>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</si>
  <si>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</si>
  <si>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</si>
  <si>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</si>
  <si>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</si>
  <si>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</si>
  <si>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</si>
  <si>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</si>
  <si>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</si>
  <si>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</si>
  <si>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</si>
  <si>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</si>
  <si>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</si>
  <si>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</si>
  <si>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</si>
  <si>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</si>
  <si>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</si>
  <si>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</si>
  <si>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</si>
  <si>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</si>
  <si>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</si>
  <si>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</si>
  <si>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</si>
  <si>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</si>
  <si>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</si>
  <si>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</si>
  <si>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</si>
  <si>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</si>
  <si>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</si>
  <si>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</si>
  <si>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</si>
  <si>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</si>
  <si>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</si>
  <si>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</si>
  <si>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</si>
  <si>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</si>
  <si>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</si>
  <si>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</si>
  <si>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</si>
  <si>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</si>
  <si>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</si>
  <si>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</si>
  <si>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</si>
  <si>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</si>
  <si>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</si>
  <si>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</si>
  <si>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</si>
  <si>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</si>
  <si>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</si>
  <si>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</si>
  <si>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</si>
  <si>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</si>
  <si>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</si>
  <si>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</si>
  <si>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</si>
  <si>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</si>
  <si>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</si>
  <si>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</si>
  <si>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</si>
  <si>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</si>
  <si>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</si>
  <si>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</si>
  <si>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</si>
  <si>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</si>
  <si>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</si>
  <si>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</si>
  <si>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</si>
  <si>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</si>
  <si>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</si>
  <si>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</si>
  <si>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</si>
  <si>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</si>
  <si>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</si>
  <si>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</si>
  <si>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</si>
  <si>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</si>
  <si>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</si>
  <si>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</si>
  <si>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</si>
  <si>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</si>
  <si>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</si>
  <si>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</si>
  <si>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</si>
  <si>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</si>
  <si>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</si>
  <si>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</si>
  <si>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</si>
  <si>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</si>
  <si>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</si>
  <si>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</si>
  <si>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</si>
  <si>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93.</t>
  </si>
  <si>
    <t>92.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</si>
  <si>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</si>
  <si>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</si>
  <si>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</si>
  <si>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</si>
  <si>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</si>
  <si>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</si>
  <si>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</si>
  <si>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</si>
  <si>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</si>
  <si>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</si>
  <si>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</si>
  <si>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</si>
  <si>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</si>
  <si>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</si>
  <si>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</si>
  <si>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</si>
  <si>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</si>
  <si>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</si>
  <si>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</si>
  <si>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</si>
  <si>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</si>
  <si>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</si>
  <si>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</si>
  <si>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</si>
  <si>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</si>
  <si>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</si>
  <si>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</si>
  <si>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</si>
  <si>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</si>
  <si>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</si>
  <si>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</si>
  <si>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</si>
  <si>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</si>
  <si>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</si>
  <si>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</si>
  <si>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</si>
  <si>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</si>
  <si>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</si>
  <si>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</si>
  <si>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</si>
  <si>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</si>
  <si>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</si>
  <si>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</si>
  <si>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</si>
  <si>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</si>
  <si>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</si>
  <si>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</si>
  <si>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</si>
  <si>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</si>
  <si>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</si>
  <si>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</si>
  <si>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</si>
  <si>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</si>
  <si>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</si>
  <si>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</si>
  <si>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</si>
  <si>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</si>
  <si>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</si>
  <si>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</si>
  <si>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</si>
  <si>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</si>
  <si>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</si>
  <si>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</si>
  <si>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</si>
  <si>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178.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</si>
  <si>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</si>
  <si>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</si>
  <si>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</si>
  <si>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</si>
  <si>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</si>
  <si>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</si>
  <si>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</si>
  <si>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</si>
  <si>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</si>
  <si>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</si>
  <si>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</si>
  <si>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</si>
  <si>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</si>
  <si>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</si>
  <si>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</si>
  <si>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</si>
  <si>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</si>
  <si>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</si>
  <si>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</si>
  <si>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</si>
  <si>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</si>
  <si>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</si>
  <si>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</si>
  <si>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</si>
  <si>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</si>
  <si>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</si>
  <si>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</si>
  <si>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</si>
  <si>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</si>
  <si>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</si>
  <si>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</si>
  <si>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</si>
  <si>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</si>
  <si>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</si>
  <si>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</si>
  <si>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</si>
  <si>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</si>
  <si>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</si>
  <si>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</si>
  <si>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</si>
  <si>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</si>
  <si>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</si>
  <si>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</si>
  <si>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</si>
  <si>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</si>
  <si>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</si>
  <si>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</si>
  <si>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</si>
  <si>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</si>
  <si>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</si>
  <si>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</si>
  <si>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</si>
  <si>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</si>
  <si>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</si>
  <si>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</si>
  <si>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</si>
  <si>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</si>
  <si>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</si>
  <si>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</si>
  <si>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</si>
  <si>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</si>
  <si>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</si>
  <si>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</si>
  <si>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</si>
  <si>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</si>
  <si>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</si>
  <si>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</si>
  <si>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</si>
  <si>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</si>
  <si>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</si>
  <si>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</si>
  <si>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</si>
  <si>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</si>
  <si>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</si>
  <si>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</si>
  <si>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</si>
  <si>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</si>
  <si>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</si>
  <si>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</si>
  <si>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</si>
  <si>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</si>
  <si>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</si>
  <si>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</si>
  <si>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</si>
  <si>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</si>
  <si>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</si>
  <si>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</si>
  <si>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</si>
  <si>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</si>
  <si>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</si>
  <si>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</si>
  <si>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</si>
  <si>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</si>
  <si>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</si>
  <si>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</si>
  <si>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</si>
  <si>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</si>
  <si>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</si>
  <si>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</si>
  <si>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</si>
  <si>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</si>
  <si>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</si>
  <si>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</si>
  <si>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</si>
  <si>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</si>
  <si>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</si>
  <si>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</si>
  <si>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</si>
  <si>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</si>
  <si>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</si>
  <si>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</si>
  <si>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</si>
  <si>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</si>
  <si>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</si>
  <si>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</si>
  <si>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</si>
  <si>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</si>
  <si>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</si>
  <si>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</si>
  <si>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</si>
  <si>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</si>
  <si>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</si>
  <si>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</si>
  <si>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</si>
  <si>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</si>
  <si>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</si>
  <si>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</si>
  <si>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</si>
  <si>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</si>
  <si>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</si>
  <si>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</si>
  <si>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</si>
  <si>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</si>
  <si>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</si>
  <si>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</si>
  <si>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</si>
  <si>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</si>
  <si>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</si>
  <si>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</si>
  <si>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</si>
  <si>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</si>
  <si>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</si>
  <si>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</si>
  <si>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</si>
  <si>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</si>
  <si>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</si>
  <si>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</si>
  <si>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</si>
  <si>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</si>
  <si>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</si>
  <si>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</si>
  <si>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</si>
  <si>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</si>
  <si>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</si>
  <si>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</si>
  <si>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</si>
  <si>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</si>
  <si>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</si>
  <si>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</si>
  <si>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</si>
  <si>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</si>
  <si>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</si>
  <si>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CENA CELKEM BEZ DPH</t>
  </si>
  <si>
    <t>Výška *1</t>
  </si>
  <si>
    <r>
      <t>Průměr kmene 1 *</t>
    </r>
    <r>
      <rPr>
        <vertAlign val="superscript"/>
        <sz val="8"/>
        <rFont val="Arial"/>
        <family val="2"/>
      </rPr>
      <t>1</t>
    </r>
  </si>
  <si>
    <r>
      <t>Průměr kmene 2 *</t>
    </r>
    <r>
      <rPr>
        <vertAlign val="subscript"/>
        <sz val="8"/>
        <rFont val="Arial"/>
        <family val="2"/>
      </rPr>
      <t>1</t>
    </r>
  </si>
  <si>
    <r>
      <t>Průměr kmene 3 *</t>
    </r>
    <r>
      <rPr>
        <vertAlign val="superscript"/>
        <sz val="8"/>
        <rFont val="Arial"/>
        <family val="2"/>
      </rPr>
      <t>1</t>
    </r>
  </si>
  <si>
    <r>
      <t>Průměr kmene 4 *</t>
    </r>
    <r>
      <rPr>
        <vertAlign val="superscript"/>
        <sz val="8"/>
        <rFont val="Arial"/>
        <family val="2"/>
      </rPr>
      <t>1</t>
    </r>
  </si>
  <si>
    <r>
      <t>Průměr koruny *</t>
    </r>
    <r>
      <rPr>
        <vertAlign val="superscript"/>
        <sz val="8"/>
        <rFont val="Arial"/>
        <family val="2"/>
      </rPr>
      <t>1</t>
    </r>
  </si>
  <si>
    <t>*1</t>
  </si>
  <si>
    <t>*2</t>
  </si>
  <si>
    <t>uvedené dendrometrické údaje se mohou odchylovat od skutečného stavu v souvislosti s datem hodnocení stromu</t>
  </si>
  <si>
    <t>cena kácení musí obsahovat veškeré operace, které souvisí s kácením dřevin, úklidem dřevní hmoty a zajištění bezpečnosti na komunikacích a totéž platí pro operaci frézování pařezů, dle podmínek smlouvy</t>
  </si>
  <si>
    <r>
      <t>Cena prací  bez DPH *</t>
    </r>
    <r>
      <rPr>
        <vertAlign val="superscript"/>
        <sz val="8"/>
        <rFont val="Arial"/>
        <family val="2"/>
      </rPr>
      <t>2</t>
    </r>
  </si>
  <si>
    <t>Příloha č. 2 ZD - Tabulka kácených dřevin včetně rozpočtu (budoucí příloha č. 1 smlouvy)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</si>
</sst>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sz val="9"/>
      <color indexed="63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b/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textRotation="90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1" fillId="0" borderId="10" xfId="0" applyFont="1" applyFill="1" applyBorder="1" applyAlignment="1" applyProtection="1">
      <alignment textRotation="90" wrapText="1"/>
      <protection/>
    </xf>
    <xf numFmtId="0" fontId="1" fillId="0" borderId="10" xfId="0" applyFont="1" applyFill="1" applyBorder="1" applyAlignment="1" applyProtection="1">
      <alignment wrapText="1"/>
      <protection/>
    </xf>
    <xf numFmtId="0" fontId="1" fillId="7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0" fontId="1" fillId="0" borderId="10" xfId="0" applyFont="1" applyFill="1" applyBorder="1" applyAlignment="1" applyProtection="1">
      <alignment textRotation="90" wrapText="1"/>
      <protection/>
    </xf>
    <xf numFmtId="0" fontId="1" fillId="0" borderId="10" xfId="0" applyFont="1" applyFill="1" applyBorder="1" applyAlignment="1" applyProtection="1">
      <alignment textRotation="90" wrapText="1"/>
      <protection/>
    </xf>
    <xf numFmtId="0" fontId="1" fillId="7" borderId="11" xfId="0" applyFont="1" applyFill="1" applyBorder="1" applyAlignment="1" applyProtection="1">
      <alignment horizontal="center" wrapText="1"/>
      <protection/>
    </xf>
    <xf numFmtId="0" fontId="0" fillId="7" borderId="0" xfId="0" applyFill="1" applyAlignment="1">
      <alignment wrapText="1"/>
    </xf>
    <xf numFmtId="0" fontId="1" fillId="7" borderId="12" xfId="0" applyFont="1" applyFill="1" applyBorder="1" applyAlignment="1" applyProtection="1">
      <alignment horizontal="center" wrapText="1"/>
      <protection/>
    </xf>
    <xf numFmtId="0" fontId="1" fillId="7" borderId="10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7" borderId="12" xfId="0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7" borderId="11" xfId="0" applyFont="1" applyFill="1" applyBorder="1" applyAlignment="1" applyProtection="1">
      <alignment wrapText="1"/>
      <protection/>
    </xf>
    <xf numFmtId="0" fontId="1" fillId="7" borderId="15" xfId="0" applyFont="1" applyFill="1" applyBorder="1" applyAlignment="1" applyProtection="1">
      <alignment wrapText="1"/>
      <protection/>
    </xf>
    <xf numFmtId="0" fontId="1" fillId="0" borderId="11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left" textRotation="90" wrapText="1"/>
      <protection/>
    </xf>
    <xf numFmtId="0" fontId="1" fillId="19" borderId="10" xfId="0" applyFont="1" applyFill="1" applyBorder="1" applyAlignment="1" applyProtection="1">
      <alignment textRotation="90" wrapText="1"/>
      <protection/>
    </xf>
    <xf numFmtId="0" fontId="1" fillId="19" borderId="10" xfId="0" applyFont="1" applyFill="1" applyBorder="1" applyAlignment="1" applyProtection="1">
      <alignment wrapText="1"/>
      <protection/>
    </xf>
    <xf numFmtId="0" fontId="1" fillId="19" borderId="11" xfId="0" applyFont="1" applyFill="1" applyBorder="1" applyAlignment="1" applyProtection="1">
      <alignment wrapText="1"/>
      <protection/>
    </xf>
    <xf numFmtId="0" fontId="0" fillId="33" borderId="16" xfId="0" applyFill="1" applyBorder="1" applyAlignment="1">
      <alignment wrapText="1"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0" borderId="1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33" borderId="17" xfId="0" applyFont="1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Followed Hyperlink" xfId="42"/>
    <cellStyle name="Poznámka" xfId="43"/>
    <cellStyle name="Propojená buňka" xfId="44"/>
    <cellStyle name="Správně" xfId="45"/>
    <cellStyle name="Špat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23"/>
  <sheetViews>
    <sheetView zoomScalePageLayoutView="0" workbookViewId="0" topLeftCell="A1">
      <selection activeCell="A1" sqref="A1:H1"/>
    </sheetView>
  </sheetViews>
  <sheetFormatPr defaultColWidth="9.140625" defaultRowHeight="12.75"/>
  <sheetData>
    <row r="1" spans="1:8" ht="12.75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5"/>
    </row>
    <row r="2" spans="1:7" ht="12.75">
      <c r="A2" s="1" t="s">
        <v>7</v>
      </c>
      <c r="B2" s="1" t="s">
        <v>8</v>
      </c>
      <c r="C2" s="1" t="s">
        <v>9</v>
      </c>
      <c r="D2" s="1">
        <v>11</v>
      </c>
      <c r="E2" s="1"/>
      <c r="F2" s="1" t="s">
        <v>10</v>
      </c>
      <c r="G2" s="1" t="str">
        <f>HYPERLINK("http://www.stromypodkontrolou.cz/map/?draw_selection_circle=1#%7B%22lat%22%3A%2049.676800985%2C%20%22lng%22%3A%2018.6748648648%2C%20%22zoom%22%3A%2020%7D")</f>
        <v>http://www.stromypodkontrolou.cz/map/?draw_selection_circle=1#%7B%22lat%22%3A%2049.676800985%2C%20%22lng%22%3A%2018.6748648648%2C%20%22zoom%22%3A%2020%7D</v>
      </c>
    </row>
    <row r="3" spans="1:7" ht="12.75">
      <c r="A3" s="1" t="s">
        <v>7</v>
      </c>
      <c r="B3" s="1" t="s">
        <v>8</v>
      </c>
      <c r="C3" s="1" t="s">
        <v>9</v>
      </c>
      <c r="D3" s="1">
        <v>10</v>
      </c>
      <c r="E3" s="1"/>
      <c r="F3" s="1" t="s">
        <v>11</v>
      </c>
      <c r="G3" s="1" t="str">
        <f>HYPERLINK("http://www.stromypodkontrolou.cz/map/?draw_selection_circle=1#%7B%22lat%22%3A%2049.676890588%2C%20%22lng%22%3A%2018.6747652878%2C%20%22zoom%22%3A%2020%7D")</f>
        <v>http://www.stromypodkontrolou.cz/map/?draw_selection_circle=1#%7B%22lat%22%3A%2049.676890588%2C%20%22lng%22%3A%2018.6747652878%2C%20%22zoom%22%3A%2020%7D</v>
      </c>
    </row>
    <row r="4" spans="1:7" ht="12.75">
      <c r="A4" s="1" t="s">
        <v>7</v>
      </c>
      <c r="B4" s="1" t="s">
        <v>8</v>
      </c>
      <c r="C4" s="1" t="s">
        <v>12</v>
      </c>
      <c r="D4" s="1">
        <v>48</v>
      </c>
      <c r="E4" s="1"/>
      <c r="F4" s="1" t="s">
        <v>13</v>
      </c>
      <c r="G4" s="1" t="str">
        <f>HYPERLINK("http://www.stromypodkontrolou.cz/map/?draw_selection_circle=1#%7B%22lat%22%3A%2049.6805365859916%2C%20%22lng%22%3A%2018.6788598850171%2C%20%22zoom%22%3A%2020%7D")</f>
        <v>http://www.stromypodkontrolou.cz/map/?draw_selection_circle=1#%7B%22lat%22%3A%2049.6805365859916%2C%20%22lng%22%3A%2018.6788598850171%2C%20%22zoom%22%3A%2020%7D</v>
      </c>
    </row>
    <row r="5" spans="1:7" ht="12.75">
      <c r="A5" s="1" t="s">
        <v>7</v>
      </c>
      <c r="B5" s="1" t="s">
        <v>8</v>
      </c>
      <c r="C5" s="1" t="s">
        <v>12</v>
      </c>
      <c r="D5" s="1">
        <v>46</v>
      </c>
      <c r="E5" s="1"/>
      <c r="F5" s="1" t="s">
        <v>13</v>
      </c>
      <c r="G5" s="1" t="str">
        <f>HYPERLINK("http://www.stromypodkontrolou.cz/map/?draw_selection_circle=1#%7B%22lat%22%3A%2049.680497598601%2C%20%22lng%22%3A%2018.6788223869253%2C%20%22zoom%22%3A%2020%7D")</f>
        <v>http://www.stromypodkontrolou.cz/map/?draw_selection_circle=1#%7B%22lat%22%3A%2049.680497598601%2C%20%22lng%22%3A%2018.6788223869253%2C%20%22zoom%22%3A%2020%7D</v>
      </c>
    </row>
    <row r="6" spans="1:7" ht="12.75">
      <c r="A6" s="1" t="s">
        <v>7</v>
      </c>
      <c r="B6" s="1" t="s">
        <v>8</v>
      </c>
      <c r="C6" s="1" t="s">
        <v>12</v>
      </c>
      <c r="D6" s="1">
        <v>31</v>
      </c>
      <c r="E6" s="1"/>
      <c r="F6" s="1" t="s">
        <v>14</v>
      </c>
      <c r="G6" s="1" t="str">
        <f>HYPERLINK("http://www.stromypodkontrolou.cz/map/?draw_selection_circle=1#%7B%22lat%22%3A%2049.6805512741652%2C%20%22lng%22%3A%2018.677999628743%2C%20%22zoom%22%3A%2020%7D")</f>
        <v>http://www.stromypodkontrolou.cz/map/?draw_selection_circle=1#%7B%22lat%22%3A%2049.6805512741652%2C%20%22lng%22%3A%2018.677999628743%2C%20%22zoom%22%3A%2020%7D</v>
      </c>
    </row>
    <row r="7" spans="1:7" ht="12.75">
      <c r="A7" s="1" t="s">
        <v>7</v>
      </c>
      <c r="B7" s="1" t="s">
        <v>8</v>
      </c>
      <c r="C7" s="1" t="s">
        <v>12</v>
      </c>
      <c r="D7" s="1">
        <v>37</v>
      </c>
      <c r="E7" s="1"/>
      <c r="F7" s="1" t="s">
        <v>15</v>
      </c>
      <c r="G7" s="1" t="str">
        <f>HYPERLINK("http://www.stromypodkontrolou.cz/map/?draw_selection_circle=1#%7B%22lat%22%3A%2049.6804285866%2C%20%22lng%22%3A%2018.6782578198%2C%20%22zoom%22%3A%2020%7D")</f>
        <v>http://www.stromypodkontrolou.cz/map/?draw_selection_circle=1#%7B%22lat%22%3A%2049.6804285866%2C%20%22lng%22%3A%2018.6782578198%2C%20%22zoom%22%3A%2020%7D</v>
      </c>
    </row>
    <row r="8" spans="1:7" ht="12.75">
      <c r="A8" s="1" t="s">
        <v>7</v>
      </c>
      <c r="B8" s="1" t="s">
        <v>8</v>
      </c>
      <c r="C8" s="1" t="s">
        <v>16</v>
      </c>
      <c r="D8" s="1">
        <v>75</v>
      </c>
      <c r="E8" s="1"/>
      <c r="F8" s="1" t="s">
        <v>17</v>
      </c>
      <c r="G8" s="1" t="str">
        <f>HYPERLINK("http://www.stromypodkontrolou.cz/map/?draw_selection_circle=1#%7B%22lat%22%3A%2049.6711094558755%2C%20%22lng%22%3A%2018.6692078889121%2C%20%22zoom%22%3A%2020%7D")</f>
        <v>http://www.stromypodkontrolou.cz/map/?draw_selection_circle=1#%7B%22lat%22%3A%2049.6711094558755%2C%20%22lng%22%3A%2018.6692078889121%2C%20%22zoom%22%3A%2020%7D</v>
      </c>
    </row>
    <row r="9" spans="1:7" ht="12.75">
      <c r="A9" s="1" t="s">
        <v>7</v>
      </c>
      <c r="B9" s="1" t="s">
        <v>8</v>
      </c>
      <c r="C9" s="1" t="s">
        <v>18</v>
      </c>
      <c r="D9" s="1">
        <v>17</v>
      </c>
      <c r="E9" s="1"/>
      <c r="F9" s="1" t="s">
        <v>17</v>
      </c>
      <c r="G9" s="1" t="str">
        <f>HYPERLINK("http://www.stromypodkontrolou.cz/map/?draw_selection_circle=1#%7B%22lat%22%3A%2049.6672559372%2C%20%22lng%22%3A%2018.682710849%2C%20%22zoom%22%3A%2020%7D")</f>
        <v>http://www.stromypodkontrolou.cz/map/?draw_selection_circle=1#%7B%22lat%22%3A%2049.6672559372%2C%20%22lng%22%3A%2018.682710849%2C%20%22zoom%22%3A%2020%7D</v>
      </c>
    </row>
    <row r="10" spans="1:7" ht="12.75">
      <c r="A10" s="1" t="s">
        <v>7</v>
      </c>
      <c r="B10" s="1" t="s">
        <v>8</v>
      </c>
      <c r="C10" s="1" t="s">
        <v>18</v>
      </c>
      <c r="D10" s="1">
        <v>6</v>
      </c>
      <c r="E10" s="1"/>
      <c r="F10" s="1" t="s">
        <v>17</v>
      </c>
      <c r="G10" s="1" t="str">
        <f>HYPERLINK("http://www.stromypodkontrolou.cz/map/?draw_selection_circle=1#%7B%22lat%22%3A%2049.66698323%2C%20%22lng%22%3A%2018.6819407899%2C%20%22zoom%22%3A%2020%7D")</f>
        <v>http://www.stromypodkontrolou.cz/map/?draw_selection_circle=1#%7B%22lat%22%3A%2049.66698323%2C%20%22lng%22%3A%2018.6819407899%2C%20%22zoom%22%3A%2020%7D</v>
      </c>
    </row>
    <row r="11" spans="1:7" ht="12.75">
      <c r="A11" s="1" t="s">
        <v>7</v>
      </c>
      <c r="B11" s="1" t="s">
        <v>8</v>
      </c>
      <c r="C11" s="1" t="s">
        <v>19</v>
      </c>
      <c r="D11" s="1">
        <v>39</v>
      </c>
      <c r="E11" s="1"/>
      <c r="F11" s="1" t="s">
        <v>14</v>
      </c>
      <c r="G11" s="1" t="str">
        <f>HYPERLINK("http://www.stromypodkontrolou.cz/map/?draw_selection_circle=1#%7B%22lat%22%3A%2049.6702689999%2C%20%22lng%22%3A%2018.6624017465%2C%20%22zoom%22%3A%2020%7D")</f>
        <v>http://www.stromypodkontrolou.cz/map/?draw_selection_circle=1#%7B%22lat%22%3A%2049.6702689999%2C%20%22lng%22%3A%2018.6624017465%2C%20%22zoom%22%3A%2020%7D</v>
      </c>
    </row>
    <row r="12" spans="1:7" ht="12.75">
      <c r="A12" s="1" t="s">
        <v>7</v>
      </c>
      <c r="B12" s="1" t="s">
        <v>8</v>
      </c>
      <c r="C12" s="1" t="s">
        <v>19</v>
      </c>
      <c r="D12" s="1">
        <v>28</v>
      </c>
      <c r="E12" s="1"/>
      <c r="F12" s="1" t="s">
        <v>20</v>
      </c>
      <c r="G12" s="1" t="str">
        <f>HYPERLINK("http://www.stromypodkontrolou.cz/map/?draw_selection_circle=1#%7B%22lat%22%3A%2049.6702190275%2C%20%22lng%22%3A%2018.6623589058%2C%20%22zoom%22%3A%2020%7D")</f>
        <v>http://www.stromypodkontrolou.cz/map/?draw_selection_circle=1#%7B%22lat%22%3A%2049.6702190275%2C%20%22lng%22%3A%2018.6623589058%2C%20%22zoom%22%3A%2020%7D</v>
      </c>
    </row>
    <row r="13" spans="1:7" ht="12.75">
      <c r="A13" s="1" t="s">
        <v>7</v>
      </c>
      <c r="B13" s="1" t="s">
        <v>8</v>
      </c>
      <c r="C13" s="1" t="s">
        <v>19</v>
      </c>
      <c r="D13" s="1">
        <v>45</v>
      </c>
      <c r="E13" s="1"/>
      <c r="F13" s="1" t="s">
        <v>21</v>
      </c>
      <c r="G13" s="1" t="str">
        <f>HYPERLINK("http://www.stromypodkontrolou.cz/map/?draw_selection_circle=1#%7B%22lat%22%3A%2049.6704185525%2C%20%22lng%22%3A%2018.6622959549%2C%20%22zoom%22%3A%2020%7D")</f>
        <v>http://www.stromypodkontrolou.cz/map/?draw_selection_circle=1#%7B%22lat%22%3A%2049.6704185525%2C%20%22lng%22%3A%2018.6622959549%2C%20%22zoom%22%3A%2020%7D</v>
      </c>
    </row>
    <row r="14" spans="1:7" ht="12.75">
      <c r="A14" s="1" t="s">
        <v>7</v>
      </c>
      <c r="B14" s="1" t="s">
        <v>8</v>
      </c>
      <c r="C14" s="1" t="s">
        <v>22</v>
      </c>
      <c r="D14" s="1">
        <v>223</v>
      </c>
      <c r="E14" s="1"/>
      <c r="F14" s="1" t="s">
        <v>23</v>
      </c>
      <c r="G14" s="1" t="str">
        <f>HYPERLINK("http://www.stromypodkontrolou.cz/map/?draw_selection_circle=1#%7B%22lat%22%3A%2049.6686544371672%2C%20%22lng%22%3A%2018.6712619768685%2C%20%22zoom%22%3A%2020%7D")</f>
        <v>http://www.stromypodkontrolou.cz/map/?draw_selection_circle=1#%7B%22lat%22%3A%2049.6686544371672%2C%20%22lng%22%3A%2018.6712619768685%2C%20%22zoom%22%3A%2020%7D</v>
      </c>
    </row>
    <row r="15" spans="1:7" ht="12.75">
      <c r="A15" s="1" t="s">
        <v>7</v>
      </c>
      <c r="B15" s="1" t="s">
        <v>8</v>
      </c>
      <c r="C15" s="1" t="s">
        <v>22</v>
      </c>
      <c r="D15" s="1">
        <v>232</v>
      </c>
      <c r="E15" s="1"/>
      <c r="F15" s="1" t="s">
        <v>24</v>
      </c>
      <c r="G15" s="1" t="str">
        <f>HYPERLINK("http://www.stromypodkontrolou.cz/map/?draw_selection_circle=1#%7B%22lat%22%3A%2049.6687421022689%2C%20%22lng%22%3A%2018.6710152136472%2C%20%22zoom%22%3A%2020%7D")</f>
        <v>http://www.stromypodkontrolou.cz/map/?draw_selection_circle=1#%7B%22lat%22%3A%2049.6687421022689%2C%20%22lng%22%3A%2018.6710152136472%2C%20%22zoom%22%3A%2020%7D</v>
      </c>
    </row>
    <row r="16" spans="1:7" ht="12.75">
      <c r="A16" s="1" t="s">
        <v>7</v>
      </c>
      <c r="B16" s="1" t="s">
        <v>8</v>
      </c>
      <c r="C16" s="1" t="s">
        <v>22</v>
      </c>
      <c r="D16" s="1">
        <v>227</v>
      </c>
      <c r="E16" s="1"/>
      <c r="F16" s="1" t="s">
        <v>24</v>
      </c>
      <c r="G16" s="1" t="str">
        <f>HYPERLINK("http://www.stromypodkontrolou.cz/map/?draw_selection_circle=1#%7B%22lat%22%3A%2049.6687151951793%2C%20%22lng%22%3A%2018.6711278664243%2C%20%22zoom%22%3A%2020%7D")</f>
        <v>http://www.stromypodkontrolou.cz/map/?draw_selection_circle=1#%7B%22lat%22%3A%2049.6687151951793%2C%20%22lng%22%3A%2018.6711278664243%2C%20%22zoom%22%3A%2020%7D</v>
      </c>
    </row>
    <row r="17" spans="1:7" ht="12.75">
      <c r="A17" s="1" t="s">
        <v>7</v>
      </c>
      <c r="B17" s="1" t="s">
        <v>8</v>
      </c>
      <c r="C17" s="1" t="s">
        <v>25</v>
      </c>
      <c r="D17" s="1">
        <v>120</v>
      </c>
      <c r="E17" s="1"/>
      <c r="F17" s="1" t="s">
        <v>21</v>
      </c>
      <c r="G17" s="1" t="str">
        <f>HYPERLINK("http://www.stromypodkontrolou.cz/map/?draw_selection_circle=1#%7B%22lat%22%3A%2049.6648570165991%2C%20%22lng%22%3A%2018.6730583232652%2C%20%22zoom%22%3A%2020%7D")</f>
        <v>http://www.stromypodkontrolou.cz/map/?draw_selection_circle=1#%7B%22lat%22%3A%2049.6648570165991%2C%20%22lng%22%3A%2018.6730583232652%2C%20%22zoom%22%3A%2020%7D</v>
      </c>
    </row>
    <row r="18" spans="1:7" ht="12.75">
      <c r="A18" s="1" t="s">
        <v>7</v>
      </c>
      <c r="B18" s="1" t="s">
        <v>8</v>
      </c>
      <c r="C18" s="1" t="s">
        <v>26</v>
      </c>
      <c r="D18" s="1">
        <v>207</v>
      </c>
      <c r="E18" s="1"/>
      <c r="F18" s="1" t="s">
        <v>27</v>
      </c>
      <c r="G18" s="1" t="str">
        <f>HYPERLINK("http://www.stromypodkontrolou.cz/map/?draw_selection_circle=1#%7B%22lat%22%3A%2049.664720595%2C%20%22lng%22%3A%2018.6738498872%2C%20%22zoom%22%3A%2020%7D")</f>
        <v>http://www.stromypodkontrolou.cz/map/?draw_selection_circle=1#%7B%22lat%22%3A%2049.664720595%2C%20%22lng%22%3A%2018.6738498872%2C%20%22zoom%22%3A%2020%7D</v>
      </c>
    </row>
    <row r="19" spans="1:7" ht="12.75">
      <c r="A19" s="1" t="s">
        <v>7</v>
      </c>
      <c r="B19" s="1" t="s">
        <v>8</v>
      </c>
      <c r="C19" s="1" t="s">
        <v>22</v>
      </c>
      <c r="D19" s="1">
        <v>80</v>
      </c>
      <c r="E19" s="1"/>
      <c r="F19" s="1" t="s">
        <v>28</v>
      </c>
      <c r="G19" s="1" t="str">
        <f>HYPERLINK("http://www.stromypodkontrolou.cz/map/?draw_selection_circle=1#%7B%22lat%22%3A%2049.670357981%2C%20%22lng%22%3A%2018.6721894666%2C%20%22zoom%22%3A%2020%7D")</f>
        <v>http://www.stromypodkontrolou.cz/map/?draw_selection_circle=1#%7B%22lat%22%3A%2049.670357981%2C%20%22lng%22%3A%2018.6721894666%2C%20%22zoom%22%3A%2020%7D</v>
      </c>
    </row>
    <row r="20" spans="1:7" ht="12.75">
      <c r="A20" s="1" t="s">
        <v>7</v>
      </c>
      <c r="B20" s="1" t="s">
        <v>8</v>
      </c>
      <c r="C20" s="1" t="s">
        <v>29</v>
      </c>
      <c r="D20" s="1">
        <v>11</v>
      </c>
      <c r="E20" s="1"/>
      <c r="F20" s="1" t="s">
        <v>21</v>
      </c>
      <c r="G20" s="1" t="str">
        <f>HYPERLINK("http://www.stromypodkontrolou.cz/map/?draw_selection_circle=1#%7B%22lat%22%3A%2049.6750281798%2C%20%22lng%22%3A%2018.6679566133%2C%20%22zoom%22%3A%2020%7D")</f>
        <v>http://www.stromypodkontrolou.cz/map/?draw_selection_circle=1#%7B%22lat%22%3A%2049.6750281798%2C%20%22lng%22%3A%2018.6679566133%2C%20%22zoom%22%3A%2020%7D</v>
      </c>
    </row>
    <row r="21" spans="1:7" ht="12.75">
      <c r="A21" s="1" t="s">
        <v>7</v>
      </c>
      <c r="B21" s="1" t="s">
        <v>8</v>
      </c>
      <c r="C21" s="1" t="s">
        <v>12</v>
      </c>
      <c r="D21" s="1">
        <v>402</v>
      </c>
      <c r="E21" s="1"/>
      <c r="F21" s="1" t="s">
        <v>30</v>
      </c>
      <c r="G21" s="1" t="str">
        <f>HYPERLINK("http://www.stromypodkontrolou.cz/map/?draw_selection_circle=1#%7B%22lat%22%3A%2049.6790117605%2C%20%22lng%22%3A%2018.6845602376%2C%20%22zoom%22%3A%2020%7D")</f>
        <v>http://www.stromypodkontrolou.cz/map/?draw_selection_circle=1#%7B%22lat%22%3A%2049.6790117605%2C%20%22lng%22%3A%2018.6845602376%2C%20%22zoom%22%3A%2020%7D</v>
      </c>
    </row>
    <row r="22" spans="1:7" ht="12.75">
      <c r="A22" s="1" t="s">
        <v>7</v>
      </c>
      <c r="B22" s="1" t="s">
        <v>8</v>
      </c>
      <c r="C22" s="1" t="s">
        <v>12</v>
      </c>
      <c r="D22" s="1">
        <v>343</v>
      </c>
      <c r="E22" s="1"/>
      <c r="F22" s="1" t="s">
        <v>31</v>
      </c>
      <c r="G22" s="1" t="str">
        <f>HYPERLINK("http://www.stromypodkontrolou.cz/map/?draw_selection_circle=1#%7B%22lat%22%3A%2049.6788353689%2C%20%22lng%22%3A%2018.6844871732%2C%20%22zoom%22%3A%2020%7D")</f>
        <v>http://www.stromypodkontrolou.cz/map/?draw_selection_circle=1#%7B%22lat%22%3A%2049.6788353689%2C%20%22lng%22%3A%2018.6844871732%2C%20%22zoom%22%3A%2020%7D</v>
      </c>
    </row>
    <row r="23" spans="1:7" ht="12.75">
      <c r="A23" s="1" t="s">
        <v>7</v>
      </c>
      <c r="B23" s="1" t="s">
        <v>8</v>
      </c>
      <c r="C23" s="1" t="s">
        <v>32</v>
      </c>
      <c r="D23" s="1">
        <v>6</v>
      </c>
      <c r="E23" s="1"/>
      <c r="F23" s="1" t="s">
        <v>15</v>
      </c>
      <c r="G23" s="1" t="str">
        <f>HYPERLINK("http://www.stromypodkontrolou.cz/map/?draw_selection_circle=1#%7B%22lat%22%3A%2049.6679313433552%2C%20%22lng%22%3A%2018.6625795093028%2C%20%22zoom%22%3A%2020%7D")</f>
        <v>http://www.stromypodkontrolou.cz/map/?draw_selection_circle=1#%7B%22lat%22%3A%2049.6679313433552%2C%20%22lng%22%3A%2018.6625795093028%2C%20%22zoom%22%3A%2020%7D</v>
      </c>
    </row>
    <row r="24" spans="1:7" ht="12.75">
      <c r="A24" s="1" t="s">
        <v>7</v>
      </c>
      <c r="B24" s="1" t="s">
        <v>8</v>
      </c>
      <c r="C24" s="1" t="s">
        <v>33</v>
      </c>
      <c r="D24" s="1">
        <v>31</v>
      </c>
      <c r="E24" s="1"/>
      <c r="F24" s="1" t="s">
        <v>21</v>
      </c>
      <c r="G24" s="1" t="str">
        <f>HYPERLINK("http://www.stromypodkontrolou.cz/map/?draw_selection_circle=1#%7B%22lat%22%3A%2049.6621066799827%2C%20%22lng%22%3A%2018.6792307913795%2C%20%22zoom%22%3A%2020%7D")</f>
        <v>http://www.stromypodkontrolou.cz/map/?draw_selection_circle=1#%7B%22lat%22%3A%2049.6621066799827%2C%20%22lng%22%3A%2018.6792307913795%2C%20%22zoom%22%3A%2020%7D</v>
      </c>
    </row>
    <row r="25" spans="1:7" ht="12.75">
      <c r="A25" s="1" t="s">
        <v>7</v>
      </c>
      <c r="B25" s="1" t="s">
        <v>8</v>
      </c>
      <c r="C25" s="1" t="s">
        <v>12</v>
      </c>
      <c r="D25" s="1">
        <v>549</v>
      </c>
      <c r="E25" s="1"/>
      <c r="F25" s="1" t="s">
        <v>34</v>
      </c>
      <c r="G25" s="1" t="str">
        <f>HYPERLINK("http://www.stromypodkontrolou.cz/map/?draw_selection_circle=1#%7B%22lat%22%3A%2049.6766354344309%2C%20%22lng%22%3A%2018.686548259834%2C%20%22zoom%22%3A%2020%7D")</f>
        <v>http://www.stromypodkontrolou.cz/map/?draw_selection_circle=1#%7B%22lat%22%3A%2049.6766354344309%2C%20%22lng%22%3A%2018.686548259834%2C%20%22zoom%22%3A%2020%7D</v>
      </c>
    </row>
    <row r="26" spans="1:7" ht="12.75">
      <c r="A26" s="1" t="s">
        <v>7</v>
      </c>
      <c r="B26" s="1" t="s">
        <v>8</v>
      </c>
      <c r="C26" s="1" t="s">
        <v>35</v>
      </c>
      <c r="D26" s="1">
        <v>47</v>
      </c>
      <c r="E26" s="1"/>
      <c r="F26" s="1" t="s">
        <v>11</v>
      </c>
      <c r="G26" s="1" t="str">
        <f>HYPERLINK("http://www.stromypodkontrolou.cz/map/?draw_selection_circle=1#%7B%22lat%22%3A%2049.6681747634%2C%20%22lng%22%3A%2018.6787413075%2C%20%22zoom%22%3A%2020%7D")</f>
        <v>http://www.stromypodkontrolou.cz/map/?draw_selection_circle=1#%7B%22lat%22%3A%2049.6681747634%2C%20%22lng%22%3A%2018.6787413075%2C%20%22zoom%22%3A%2020%7D</v>
      </c>
    </row>
    <row r="27" spans="1:7" ht="12.75">
      <c r="A27" s="1" t="s">
        <v>7</v>
      </c>
      <c r="B27" s="1" t="s">
        <v>8</v>
      </c>
      <c r="C27" s="1" t="s">
        <v>35</v>
      </c>
      <c r="D27" s="1">
        <v>38</v>
      </c>
      <c r="E27" s="1"/>
      <c r="F27" s="1" t="s">
        <v>13</v>
      </c>
      <c r="G27" s="1" t="str">
        <f>HYPERLINK("http://www.stromypodkontrolou.cz/map/?draw_selection_circle=1#%7B%22lat%22%3A%2049.6679919408975%2C%20%22lng%22%3A%2018.6790539436471%2C%20%22zoom%22%3A%2020%7D")</f>
        <v>http://www.stromypodkontrolou.cz/map/?draw_selection_circle=1#%7B%22lat%22%3A%2049.6679919408975%2C%20%22lng%22%3A%2018.6790539436471%2C%20%22zoom%22%3A%2020%7D</v>
      </c>
    </row>
    <row r="28" spans="1:7" ht="12.75">
      <c r="A28" s="1" t="s">
        <v>7</v>
      </c>
      <c r="B28" s="1" t="s">
        <v>8</v>
      </c>
      <c r="C28" s="1" t="s">
        <v>35</v>
      </c>
      <c r="D28" s="1">
        <v>40</v>
      </c>
      <c r="E28" s="1"/>
      <c r="F28" s="1" t="s">
        <v>27</v>
      </c>
      <c r="G28" s="1" t="str">
        <f>HYPERLINK("http://www.stromypodkontrolou.cz/map/?draw_selection_circle=1#%7B%22lat%22%3A%2049.6680658686707%2C%20%22lng%22%3A%2018.6789601145313%2C%20%22zoom%22%3A%2020%7D")</f>
        <v>http://www.stromypodkontrolou.cz/map/?draw_selection_circle=1#%7B%22lat%22%3A%2049.6680658686707%2C%20%22lng%22%3A%2018.6789601145313%2C%20%22zoom%22%3A%2020%7D</v>
      </c>
    </row>
    <row r="29" spans="1:7" ht="12.75">
      <c r="A29" s="1" t="s">
        <v>7</v>
      </c>
      <c r="B29" s="1" t="s">
        <v>8</v>
      </c>
      <c r="C29" s="1" t="s">
        <v>35</v>
      </c>
      <c r="D29" s="1">
        <v>48</v>
      </c>
      <c r="E29" s="1"/>
      <c r="F29" s="1" t="s">
        <v>11</v>
      </c>
      <c r="G29" s="1" t="str">
        <f>HYPERLINK("http://www.stromypodkontrolou.cz/map/?draw_selection_circle=1#%7B%22lat%22%3A%2049.6681822661806%2C%20%22lng%22%3A%2018.6787477376476%2C%20%22zoom%22%3A%2020%7D")</f>
        <v>http://www.stromypodkontrolou.cz/map/?draw_selection_circle=1#%7B%22lat%22%3A%2049.6681822661806%2C%20%22lng%22%3A%2018.6787477376476%2C%20%22zoom%22%3A%2020%7D</v>
      </c>
    </row>
    <row r="30" spans="1:7" ht="12.75">
      <c r="A30" s="1" t="s">
        <v>7</v>
      </c>
      <c r="B30" s="1" t="s">
        <v>8</v>
      </c>
      <c r="C30" s="1" t="s">
        <v>36</v>
      </c>
      <c r="D30" s="1">
        <v>10</v>
      </c>
      <c r="E30" s="1"/>
      <c r="F30" s="1" t="s">
        <v>21</v>
      </c>
      <c r="G30" s="1" t="str">
        <f>HYPERLINK("http://www.stromypodkontrolou.cz/map/?draw_selection_circle=1#%7B%22lat%22%3A%2049.6675526649411%2C%20%22lng%22%3A%2018.6784494554711%2C%20%22zoom%22%3A%2020%7D")</f>
        <v>http://www.stromypodkontrolou.cz/map/?draw_selection_circle=1#%7B%22lat%22%3A%2049.6675526649411%2C%20%22lng%22%3A%2018.6784494554711%2C%20%22zoom%22%3A%2020%7D</v>
      </c>
    </row>
    <row r="31" spans="1:7" ht="12.75">
      <c r="A31" s="1" t="s">
        <v>7</v>
      </c>
      <c r="B31" s="1" t="s">
        <v>8</v>
      </c>
      <c r="C31" s="1" t="s">
        <v>16</v>
      </c>
      <c r="D31" s="1">
        <v>46</v>
      </c>
      <c r="E31" s="1"/>
      <c r="F31" s="1" t="s">
        <v>21</v>
      </c>
      <c r="G31" s="1" t="str">
        <f>HYPERLINK("http://www.stromypodkontrolou.cz/map/?draw_selection_circle=1#%7B%22lat%22%3A%2049.6716393293794%2C%20%22lng%22%3A%2018.6703910552439%2C%20%22zoom%22%3A%2020%7D")</f>
        <v>http://www.stromypodkontrolou.cz/map/?draw_selection_circle=1#%7B%22lat%22%3A%2049.6716393293794%2C%20%22lng%22%3A%2018.6703910552439%2C%20%22zoom%22%3A%2020%7D</v>
      </c>
    </row>
    <row r="32" spans="1:7" ht="12.75">
      <c r="A32" s="1" t="s">
        <v>7</v>
      </c>
      <c r="B32" s="1" t="s">
        <v>8</v>
      </c>
      <c r="C32" s="1" t="s">
        <v>16</v>
      </c>
      <c r="D32" s="1">
        <v>44</v>
      </c>
      <c r="E32" s="1"/>
      <c r="F32" s="1" t="s">
        <v>21</v>
      </c>
      <c r="G32" s="1" t="str">
        <f>HYPERLINK("http://www.stromypodkontrolou.cz/map/?draw_selection_circle=1#%7B%22lat%22%3A%2049.6716255766515%2C%20%22lng%22%3A%2018.6703600564121%2C%20%22zoom%22%3A%2020%7D")</f>
        <v>http://www.stromypodkontrolou.cz/map/?draw_selection_circle=1#%7B%22lat%22%3A%2049.6716255766515%2C%20%22lng%22%3A%2018.6703600564121%2C%20%22zoom%22%3A%2020%7D</v>
      </c>
    </row>
    <row r="33" spans="1:7" ht="12.75">
      <c r="A33" s="1" t="s">
        <v>7</v>
      </c>
      <c r="B33" s="1" t="s">
        <v>8</v>
      </c>
      <c r="C33" s="1" t="s">
        <v>16</v>
      </c>
      <c r="D33" s="1">
        <v>42</v>
      </c>
      <c r="E33" s="1"/>
      <c r="F33" s="1" t="s">
        <v>21</v>
      </c>
      <c r="G33" s="1" t="str">
        <f>HYPERLINK("http://www.stromypodkontrolou.cz/map/?draw_selection_circle=1#%7B%22lat%22%3A%2049.6716134518797%2C%20%22lng%22%3A%2018.6703311915544%2C%20%22zoom%22%3A%2020%7D")</f>
        <v>http://www.stromypodkontrolou.cz/map/?draw_selection_circle=1#%7B%22lat%22%3A%2049.6716134518797%2C%20%22lng%22%3A%2018.6703311915544%2C%20%22zoom%22%3A%2020%7D</v>
      </c>
    </row>
    <row r="34" spans="1:7" ht="12.75">
      <c r="A34" s="1" t="s">
        <v>7</v>
      </c>
      <c r="B34" s="1" t="s">
        <v>8</v>
      </c>
      <c r="C34" s="1" t="s">
        <v>16</v>
      </c>
      <c r="D34" s="1">
        <v>40</v>
      </c>
      <c r="E34" s="1"/>
      <c r="F34" s="1" t="s">
        <v>21</v>
      </c>
      <c r="G34" s="1" t="str">
        <f>HYPERLINK("http://www.stromypodkontrolou.cz/map/?draw_selection_circle=1#%7B%22lat%22%3A%2049.6715979496823%2C%20%22lng%22%3A%2018.6702957376046%2C%20%22zoom%22%3A%2020%7D")</f>
        <v>http://www.stromypodkontrolou.cz/map/?draw_selection_circle=1#%7B%22lat%22%3A%2049.6715979496823%2C%20%22lng%22%3A%2018.6702957376046%2C%20%22zoom%22%3A%2020%7D</v>
      </c>
    </row>
    <row r="35" spans="1:7" ht="12.75">
      <c r="A35" s="1" t="s">
        <v>7</v>
      </c>
      <c r="B35" s="1" t="s">
        <v>8</v>
      </c>
      <c r="C35" s="1" t="s">
        <v>16</v>
      </c>
      <c r="D35" s="1">
        <v>39</v>
      </c>
      <c r="E35" s="1"/>
      <c r="F35" s="1" t="s">
        <v>21</v>
      </c>
      <c r="G35" s="1" t="str">
        <f>HYPERLINK("http://www.stromypodkontrolou.cz/map/?draw_selection_circle=1#%7B%22lat%22%3A%2049.6715910733107%2C%20%22lng%22%3A%2018.6702802382053%2C%20%22zoom%22%3A%2020%7D")</f>
        <v>http://www.stromypodkontrolou.cz/map/?draw_selection_circle=1#%7B%22lat%22%3A%2049.6715910733107%2C%20%22lng%22%3A%2018.6702802382053%2C%20%22zoom%22%3A%2020%7D</v>
      </c>
    </row>
    <row r="36" spans="1:7" ht="12.75">
      <c r="A36" s="1" t="s">
        <v>7</v>
      </c>
      <c r="B36" s="1" t="s">
        <v>8</v>
      </c>
      <c r="C36" s="1" t="s">
        <v>37</v>
      </c>
      <c r="D36" s="1">
        <v>28</v>
      </c>
      <c r="E36" s="1"/>
      <c r="F36" s="1" t="s">
        <v>27</v>
      </c>
      <c r="G36" s="1" t="str">
        <f>HYPERLINK("http://www.stromypodkontrolou.cz/map/?draw_selection_circle=1#%7B%22lat%22%3A%2049.6694511201387%2C%20%22lng%22%3A%2018.680818268178%2C%20%22zoom%22%3A%2020%7D")</f>
        <v>http://www.stromypodkontrolou.cz/map/?draw_selection_circle=1#%7B%22lat%22%3A%2049.6694511201387%2C%20%22lng%22%3A%2018.680818268178%2C%20%22zoom%22%3A%2020%7D</v>
      </c>
    </row>
    <row r="37" spans="1:7" ht="12.75">
      <c r="A37" s="1" t="s">
        <v>7</v>
      </c>
      <c r="B37" s="1" t="s">
        <v>8</v>
      </c>
      <c r="C37" s="1" t="s">
        <v>26</v>
      </c>
      <c r="D37" s="1">
        <v>123</v>
      </c>
      <c r="E37" s="1"/>
      <c r="F37" s="1" t="s">
        <v>21</v>
      </c>
      <c r="G37" s="1" t="str">
        <f>HYPERLINK("http://www.stromypodkontrolou.cz/map/?draw_selection_circle=1#%7B%22lat%22%3A%2049.6648961663302%2C%20%22lng%22%3A%2018.6754724068894%2C%20%22zoom%22%3A%2020%7D")</f>
        <v>http://www.stromypodkontrolou.cz/map/?draw_selection_circle=1#%7B%22lat%22%3A%2049.6648961663302%2C%20%22lng%22%3A%2018.6754724068894%2C%20%22zoom%22%3A%2020%7D</v>
      </c>
    </row>
    <row r="38" spans="1:7" ht="12.75">
      <c r="A38" s="1" t="s">
        <v>7</v>
      </c>
      <c r="B38" s="1" t="s">
        <v>8</v>
      </c>
      <c r="C38" s="1" t="s">
        <v>38</v>
      </c>
      <c r="D38" s="1">
        <v>53</v>
      </c>
      <c r="E38" s="1"/>
      <c r="F38" s="1" t="s">
        <v>39</v>
      </c>
      <c r="G38" s="1" t="str">
        <f>HYPERLINK("http://www.stromypodkontrolou.cz/map/?draw_selection_circle=1#%7B%22lat%22%3A%2049.6620831635076%2C%20%22lng%22%3A%2018.6767881513371%2C%20%22zoom%22%3A%2020%7D")</f>
        <v>http://www.stromypodkontrolou.cz/map/?draw_selection_circle=1#%7B%22lat%22%3A%2049.6620831635076%2C%20%22lng%22%3A%2018.6767881513371%2C%20%22zoom%22%3A%2020%7D</v>
      </c>
    </row>
    <row r="39" spans="1:7" ht="12.75">
      <c r="A39" s="1" t="s">
        <v>7</v>
      </c>
      <c r="B39" s="1" t="s">
        <v>8</v>
      </c>
      <c r="C39" s="1" t="s">
        <v>40</v>
      </c>
      <c r="D39" s="1">
        <v>49</v>
      </c>
      <c r="E39" s="1"/>
      <c r="F39" s="1" t="s">
        <v>41</v>
      </c>
      <c r="G39" s="1" t="str">
        <f>HYPERLINK("http://www.stromypodkontrolou.cz/map/?draw_selection_circle=1#%7B%22lat%22%3A%2049.662444631%2C%20%22lng%22%3A%2018.6744748328%2C%20%22zoom%22%3A%2020%7D")</f>
        <v>http://www.stromypodkontrolou.cz/map/?draw_selection_circle=1#%7B%22lat%22%3A%2049.662444631%2C%20%22lng%22%3A%2018.6744748328%2C%20%22zoom%22%3A%2020%7D</v>
      </c>
    </row>
    <row r="40" spans="1:7" ht="12.75">
      <c r="A40" s="1" t="s">
        <v>7</v>
      </c>
      <c r="B40" s="1" t="s">
        <v>8</v>
      </c>
      <c r="C40" s="1" t="s">
        <v>40</v>
      </c>
      <c r="D40" s="1">
        <v>46</v>
      </c>
      <c r="E40" s="1"/>
      <c r="F40" s="1" t="s">
        <v>42</v>
      </c>
      <c r="G40" s="1" t="str">
        <f>HYPERLINK("http://www.stromypodkontrolou.cz/map/?draw_selection_circle=1#%7B%22lat%22%3A%2049.6623823788262%2C%20%22lng%22%3A%2018.674375013961%2C%20%22zoom%22%3A%2020%7D")</f>
        <v>http://www.stromypodkontrolou.cz/map/?draw_selection_circle=1#%7B%22lat%22%3A%2049.6623823788262%2C%20%22lng%22%3A%2018.674375013961%2C%20%22zoom%22%3A%2020%7D</v>
      </c>
    </row>
    <row r="41" spans="1:7" ht="12.75">
      <c r="A41" s="1" t="s">
        <v>7</v>
      </c>
      <c r="B41" s="1" t="s">
        <v>8</v>
      </c>
      <c r="C41" s="1" t="s">
        <v>43</v>
      </c>
      <c r="D41" s="1">
        <v>72</v>
      </c>
      <c r="E41" s="1"/>
      <c r="F41" s="1" t="s">
        <v>44</v>
      </c>
      <c r="G41" s="1" t="str">
        <f>HYPERLINK("http://www.stromypodkontrolou.cz/map/?draw_selection_circle=1#%7B%22lat%22%3A%2049.6757424483634%2C%20%22lng%22%3A%2018.6691232346649%2C%20%22zoom%22%3A%2020%7D")</f>
        <v>http://www.stromypodkontrolou.cz/map/?draw_selection_circle=1#%7B%22lat%22%3A%2049.6757424483634%2C%20%22lng%22%3A%2018.6691232346649%2C%20%22zoom%22%3A%2020%7D</v>
      </c>
    </row>
    <row r="42" spans="1:7" ht="12.75">
      <c r="A42" s="1" t="s">
        <v>7</v>
      </c>
      <c r="B42" s="1" t="s">
        <v>8</v>
      </c>
      <c r="C42" s="1" t="s">
        <v>43</v>
      </c>
      <c r="D42" s="1">
        <v>25</v>
      </c>
      <c r="E42" s="1"/>
      <c r="F42" s="1" t="s">
        <v>45</v>
      </c>
      <c r="G42" s="1" t="str">
        <f>HYPERLINK("http://www.stromypodkontrolou.cz/map/?draw_selection_circle=1#%7B%22lat%22%3A%2049.6750470128567%2C%20%22lng%22%3A%2018.6708026378386%2C%20%22zoom%22%3A%2020%7D")</f>
        <v>http://www.stromypodkontrolou.cz/map/?draw_selection_circle=1#%7B%22lat%22%3A%2049.6750470128567%2C%20%22lng%22%3A%2018.6708026378386%2C%20%22zoom%22%3A%2020%7D</v>
      </c>
    </row>
    <row r="43" spans="1:7" ht="12.75">
      <c r="A43" s="1" t="s">
        <v>7</v>
      </c>
      <c r="B43" s="1" t="s">
        <v>8</v>
      </c>
      <c r="C43" s="1" t="s">
        <v>43</v>
      </c>
      <c r="D43" s="1">
        <v>32</v>
      </c>
      <c r="E43" s="1"/>
      <c r="F43" s="1" t="s">
        <v>46</v>
      </c>
      <c r="G43" s="1" t="str">
        <f>HYPERLINK("http://www.stromypodkontrolou.cz/map/?draw_selection_circle=1#%7B%22lat%22%3A%2049.6752986833%2C%20%22lng%22%3A%2018.6705778876%2C%20%22zoom%22%3A%2020%7D")</f>
        <v>http://www.stromypodkontrolou.cz/map/?draw_selection_circle=1#%7B%22lat%22%3A%2049.6752986833%2C%20%22lng%22%3A%2018.6705778876%2C%20%22zoom%22%3A%2020%7D</v>
      </c>
    </row>
    <row r="44" spans="1:7" ht="12.75">
      <c r="A44" s="1" t="s">
        <v>7</v>
      </c>
      <c r="B44" s="1" t="s">
        <v>8</v>
      </c>
      <c r="C44" s="1" t="s">
        <v>47</v>
      </c>
      <c r="D44" s="1">
        <v>122</v>
      </c>
      <c r="E44" s="1"/>
      <c r="F44" s="1" t="s">
        <v>24</v>
      </c>
      <c r="G44" s="1" t="str">
        <f>HYPERLINK("http://www.stromypodkontrolou.cz/map/?draw_selection_circle=1#%7B%22lat%22%3A%2049.6778281210956%2C%20%22lng%22%3A%2018.6458741999197%2C%20%22zoom%22%3A%2020%7D")</f>
        <v>http://www.stromypodkontrolou.cz/map/?draw_selection_circle=1#%7B%22lat%22%3A%2049.6778281210956%2C%20%22lng%22%3A%2018.6458741999197%2C%20%22zoom%22%3A%2020%7D</v>
      </c>
    </row>
    <row r="45" spans="1:7" ht="12.75">
      <c r="A45" s="1" t="s">
        <v>7</v>
      </c>
      <c r="B45" s="1" t="s">
        <v>8</v>
      </c>
      <c r="C45" s="1" t="s">
        <v>43</v>
      </c>
      <c r="D45" s="1">
        <v>140</v>
      </c>
      <c r="E45" s="1"/>
      <c r="F45" s="1" t="s">
        <v>11</v>
      </c>
      <c r="G45" s="1" t="str">
        <f>HYPERLINK("http://www.stromypodkontrolou.cz/map/?draw_selection_circle=1#%7B%22lat%22%3A%2049.6739519508125%2C%20%22lng%22%3A%2018.6700141931997%2C%20%22zoom%22%3A%2020%7D")</f>
        <v>http://www.stromypodkontrolou.cz/map/?draw_selection_circle=1#%7B%22lat%22%3A%2049.6739519508125%2C%20%22lng%22%3A%2018.6700141931997%2C%20%22zoom%22%3A%2020%7D</v>
      </c>
    </row>
    <row r="46" spans="1:7" ht="12.75">
      <c r="A46" s="1" t="s">
        <v>7</v>
      </c>
      <c r="B46" s="1" t="s">
        <v>8</v>
      </c>
      <c r="C46" s="1" t="s">
        <v>48</v>
      </c>
      <c r="D46" s="1">
        <v>27</v>
      </c>
      <c r="E46" s="1"/>
      <c r="F46" s="1" t="s">
        <v>24</v>
      </c>
      <c r="G46" s="1" t="str">
        <f>HYPERLINK("http://www.stromypodkontrolou.cz/map/?draw_selection_circle=1#%7B%22lat%22%3A%2049.663712261038%2C%20%22lng%22%3A%2018.6875587744694%2C%20%22zoom%22%3A%2020%7D")</f>
        <v>http://www.stromypodkontrolou.cz/map/?draw_selection_circle=1#%7B%22lat%22%3A%2049.663712261038%2C%20%22lng%22%3A%2018.6875587744694%2C%20%22zoom%22%3A%2020%7D</v>
      </c>
    </row>
    <row r="47" spans="1:7" ht="12.75">
      <c r="A47" s="1" t="s">
        <v>7</v>
      </c>
      <c r="B47" s="1" t="s">
        <v>8</v>
      </c>
      <c r="C47" s="1" t="s">
        <v>49</v>
      </c>
      <c r="D47" s="1">
        <v>19</v>
      </c>
      <c r="E47" s="1"/>
      <c r="F47" s="1" t="s">
        <v>23</v>
      </c>
      <c r="G47" s="1" t="str">
        <f>HYPERLINK("http://www.stromypodkontrolou.cz/map/?draw_selection_circle=1#%7B%22lat%22%3A%2049.6651923055565%2C%20%22lng%22%3A%2018.6825826314995%2C%20%22zoom%22%3A%2020%7D")</f>
        <v>http://www.stromypodkontrolou.cz/map/?draw_selection_circle=1#%7B%22lat%22%3A%2049.6651923055565%2C%20%22lng%22%3A%2018.6825826314995%2C%20%22zoom%22%3A%2020%7D</v>
      </c>
    </row>
    <row r="48" spans="1:7" ht="12.75">
      <c r="A48" s="1" t="s">
        <v>7</v>
      </c>
      <c r="B48" s="1" t="s">
        <v>8</v>
      </c>
      <c r="C48" s="1" t="s">
        <v>50</v>
      </c>
      <c r="D48" s="1">
        <v>40</v>
      </c>
      <c r="E48" s="1"/>
      <c r="F48" s="1" t="s">
        <v>23</v>
      </c>
      <c r="G48" s="1" t="str">
        <f>HYPERLINK("http://www.stromypodkontrolou.cz/map/?draw_selection_circle=1#%7B%22lat%22%3A%2049.6631911234966%2C%20%22lng%22%3A%2018.6839122911068%2C%20%22zoom%22%3A%2020%7D")</f>
        <v>http://www.stromypodkontrolou.cz/map/?draw_selection_circle=1#%7B%22lat%22%3A%2049.6631911234966%2C%20%22lng%22%3A%2018.6839122911068%2C%20%22zoom%22%3A%2020%7D</v>
      </c>
    </row>
    <row r="49" spans="1:7" ht="12.75">
      <c r="A49" s="1" t="s">
        <v>7</v>
      </c>
      <c r="B49" s="1" t="s">
        <v>8</v>
      </c>
      <c r="C49" s="1" t="s">
        <v>51</v>
      </c>
      <c r="D49" s="1">
        <v>54</v>
      </c>
      <c r="E49" s="1"/>
      <c r="F49" s="1" t="s">
        <v>11</v>
      </c>
      <c r="G49" s="1" t="str">
        <f>HYPERLINK("http://www.stromypodkontrolou.cz/map/?draw_selection_circle=1#%7B%22lat%22%3A%2049.6626183963%2C%20%22lng%22%3A%2018.6844744003%2C%20%22zoom%22%3A%2020%7D")</f>
        <v>http://www.stromypodkontrolou.cz/map/?draw_selection_circle=1#%7B%22lat%22%3A%2049.6626183963%2C%20%22lng%22%3A%2018.6844744003%2C%20%22zoom%22%3A%2020%7D</v>
      </c>
    </row>
    <row r="50" spans="1:7" ht="12.75">
      <c r="A50" s="1" t="s">
        <v>7</v>
      </c>
      <c r="B50" s="1" t="s">
        <v>8</v>
      </c>
      <c r="C50" s="1" t="s">
        <v>51</v>
      </c>
      <c r="D50" s="1">
        <v>53</v>
      </c>
      <c r="E50" s="1"/>
      <c r="F50" s="1" t="s">
        <v>10</v>
      </c>
      <c r="G50" s="1" t="str">
        <f>HYPERLINK("http://www.stromypodkontrolou.cz/map/?draw_selection_circle=1#%7B%22lat%22%3A%2049.662620581398%2C%20%22lng%22%3A%2018.6844839369121%2C%20%22zoom%22%3A%2020%7D")</f>
        <v>http://www.stromypodkontrolou.cz/map/?draw_selection_circle=1#%7B%22lat%22%3A%2049.662620581398%2C%20%22lng%22%3A%2018.6844839369121%2C%20%22zoom%22%3A%2020%7D</v>
      </c>
    </row>
    <row r="51" spans="1:7" ht="12.75">
      <c r="A51" s="1" t="s">
        <v>7</v>
      </c>
      <c r="B51" s="1" t="s">
        <v>8</v>
      </c>
      <c r="C51" s="1" t="s">
        <v>52</v>
      </c>
      <c r="D51" s="1">
        <v>25</v>
      </c>
      <c r="E51" s="1"/>
      <c r="F51" s="1" t="s">
        <v>53</v>
      </c>
      <c r="G51" s="1" t="str">
        <f>HYPERLINK("http://www.stromypodkontrolou.cz/map/?draw_selection_circle=1#%7B%22lat%22%3A%2049.6703758190489%2C%20%22lng%22%3A%2018.6797119831872%2C%20%22zoom%22%3A%2020%7D")</f>
        <v>http://www.stromypodkontrolou.cz/map/?draw_selection_circle=1#%7B%22lat%22%3A%2049.6703758190489%2C%20%22lng%22%3A%2018.6797119831872%2C%20%22zoom%22%3A%2020%7D</v>
      </c>
    </row>
    <row r="52" spans="1:7" ht="12.75">
      <c r="A52" s="1" t="s">
        <v>7</v>
      </c>
      <c r="B52" s="1" t="s">
        <v>8</v>
      </c>
      <c r="C52" s="1" t="s">
        <v>54</v>
      </c>
      <c r="D52" s="1">
        <v>34</v>
      </c>
      <c r="E52" s="1"/>
      <c r="F52" s="1" t="s">
        <v>55</v>
      </c>
      <c r="G52" s="1" t="str">
        <f>HYPERLINK("http://www.stromypodkontrolou.cz/map/?draw_selection_circle=1#%7B%22lat%22%3A%2049.6762723591358%2C%20%22lng%22%3A%2018.665656689976%2C%20%22zoom%22%3A%2020%7D")</f>
        <v>http://www.stromypodkontrolou.cz/map/?draw_selection_circle=1#%7B%22lat%22%3A%2049.6762723591358%2C%20%22lng%22%3A%2018.665656689976%2C%20%22zoom%22%3A%2020%7D</v>
      </c>
    </row>
    <row r="53" spans="1:7" ht="12.75">
      <c r="A53" s="1" t="s">
        <v>7</v>
      </c>
      <c r="B53" s="1" t="s">
        <v>8</v>
      </c>
      <c r="C53" s="1" t="s">
        <v>56</v>
      </c>
      <c r="D53" s="1">
        <v>245</v>
      </c>
      <c r="E53" s="1"/>
      <c r="F53" s="1" t="s">
        <v>57</v>
      </c>
      <c r="G53" s="1" t="str">
        <f>HYPERLINK("http://www.stromypodkontrolou.cz/map/?draw_selection_circle=1#%7B%22lat%22%3A%2049.671762613579%2C%20%22lng%22%3A%2018.6695169096935%2C%20%22zoom%22%3A%2020%7D")</f>
        <v>http://www.stromypodkontrolou.cz/map/?draw_selection_circle=1#%7B%22lat%22%3A%2049.671762613579%2C%20%22lng%22%3A%2018.6695169096935%2C%20%22zoom%22%3A%2020%7D</v>
      </c>
    </row>
    <row r="54" spans="1:7" ht="12.75">
      <c r="A54" s="1" t="s">
        <v>7</v>
      </c>
      <c r="B54" s="1" t="s">
        <v>8</v>
      </c>
      <c r="C54" s="1" t="s">
        <v>56</v>
      </c>
      <c r="D54" s="1">
        <v>116</v>
      </c>
      <c r="E54" s="1"/>
      <c r="F54" s="1" t="s">
        <v>21</v>
      </c>
      <c r="G54" s="1" t="str">
        <f>HYPERLINK("http://www.stromypodkontrolou.cz/map/?draw_selection_circle=1#%7B%22lat%22%3A%2049.673355013661%2C%20%22lng%22%3A%2018.6693837194379%2C%20%22zoom%22%3A%2020%7D")</f>
        <v>http://www.stromypodkontrolou.cz/map/?draw_selection_circle=1#%7B%22lat%22%3A%2049.673355013661%2C%20%22lng%22%3A%2018.6693837194379%2C%20%22zoom%22%3A%2020%7D</v>
      </c>
    </row>
    <row r="55" spans="1:7" ht="12.75">
      <c r="A55" s="1" t="s">
        <v>7</v>
      </c>
      <c r="B55" s="1" t="s">
        <v>8</v>
      </c>
      <c r="C55" s="1" t="s">
        <v>58</v>
      </c>
      <c r="D55" s="1">
        <v>515</v>
      </c>
      <c r="E55" s="1"/>
      <c r="F55" s="1" t="s">
        <v>41</v>
      </c>
      <c r="G55" s="1" t="str">
        <f>HYPERLINK("http://www.stromypodkontrolou.cz/map/?draw_selection_circle=1#%7B%22lat%22%3A%2049.6749872947%2C%20%22lng%22%3A%2018.6687587415%2C%20%22zoom%22%3A%2020%7D")</f>
        <v>http://www.stromypodkontrolou.cz/map/?draw_selection_circle=1#%7B%22lat%22%3A%2049.6749872947%2C%20%22lng%22%3A%2018.6687587415%2C%20%22zoom%22%3A%2020%7D</v>
      </c>
    </row>
    <row r="56" spans="1:7" ht="12.75">
      <c r="A56" s="1" t="s">
        <v>7</v>
      </c>
      <c r="B56" s="1" t="s">
        <v>8</v>
      </c>
      <c r="C56" s="1" t="s">
        <v>59</v>
      </c>
      <c r="D56" s="1">
        <v>8</v>
      </c>
      <c r="E56" s="1"/>
      <c r="F56" s="1" t="s">
        <v>23</v>
      </c>
      <c r="G56" s="1" t="str">
        <f>HYPERLINK("http://www.stromypodkontrolou.cz/map/?draw_selection_circle=1#%7B%22lat%22%3A%2049.6737153427337%2C%20%22lng%22%3A%2018.6686948426334%2C%20%22zoom%22%3A%2020%7D")</f>
        <v>http://www.stromypodkontrolou.cz/map/?draw_selection_circle=1#%7B%22lat%22%3A%2049.6737153427337%2C%20%22lng%22%3A%2018.6686948426334%2C%20%22zoom%22%3A%2020%7D</v>
      </c>
    </row>
    <row r="57" spans="1:7" ht="12.75">
      <c r="A57" s="1" t="s">
        <v>7</v>
      </c>
      <c r="B57" s="1" t="s">
        <v>8</v>
      </c>
      <c r="C57" s="1" t="s">
        <v>60</v>
      </c>
      <c r="D57" s="1">
        <v>124</v>
      </c>
      <c r="E57" s="1"/>
      <c r="F57" s="1" t="s">
        <v>61</v>
      </c>
      <c r="G57" s="1" t="str">
        <f>HYPERLINK("http://www.stromypodkontrolou.cz/map/?draw_selection_circle=1#%7B%22lat%22%3A%2049.6719168308591%2C%20%22lng%22%3A%2018.6773191134867%2C%20%22zoom%22%3A%2020%7D")</f>
        <v>http://www.stromypodkontrolou.cz/map/?draw_selection_circle=1#%7B%22lat%22%3A%2049.6719168308591%2C%20%22lng%22%3A%2018.6773191134867%2C%20%22zoom%22%3A%2020%7D</v>
      </c>
    </row>
    <row r="58" spans="1:7" ht="12.75">
      <c r="A58" s="1" t="s">
        <v>7</v>
      </c>
      <c r="B58" s="1" t="s">
        <v>8</v>
      </c>
      <c r="C58" s="1" t="s">
        <v>60</v>
      </c>
      <c r="D58" s="1">
        <v>122</v>
      </c>
      <c r="E58" s="1"/>
      <c r="F58" s="1" t="s">
        <v>62</v>
      </c>
      <c r="G58" s="1" t="str">
        <f>HYPERLINK("http://www.stromypodkontrolou.cz/map/?draw_selection_circle=1#%7B%22lat%22%3A%2049.6719050028145%2C%20%22lng%22%3A%2018.6772984963847%2C%20%22zoom%22%3A%2020%7D")</f>
        <v>http://www.stromypodkontrolou.cz/map/?draw_selection_circle=1#%7B%22lat%22%3A%2049.6719050028145%2C%20%22lng%22%3A%2018.6772984963847%2C%20%22zoom%22%3A%2020%7D</v>
      </c>
    </row>
    <row r="59" spans="1:7" ht="12.75">
      <c r="A59" s="1" t="s">
        <v>7</v>
      </c>
      <c r="B59" s="1" t="s">
        <v>8</v>
      </c>
      <c r="C59" s="1" t="s">
        <v>60</v>
      </c>
      <c r="D59" s="1">
        <v>120</v>
      </c>
      <c r="E59" s="1"/>
      <c r="F59" s="1" t="s">
        <v>62</v>
      </c>
      <c r="G59" s="1" t="str">
        <f>HYPERLINK("http://www.stromypodkontrolou.cz/map/?draw_selection_circle=1#%7B%22lat%22%3A%2049.6718891534316%2C%20%22lng%22%3A%2018.677315187727%2C%20%22zoom%22%3A%2020%7D")</f>
        <v>http://www.stromypodkontrolou.cz/map/?draw_selection_circle=1#%7B%22lat%22%3A%2049.6718891534316%2C%20%22lng%22%3A%2018.677315187727%2C%20%22zoom%22%3A%2020%7D</v>
      </c>
    </row>
    <row r="60" spans="1:7" ht="12.75">
      <c r="A60" s="1" t="s">
        <v>7</v>
      </c>
      <c r="B60" s="1" t="s">
        <v>8</v>
      </c>
      <c r="C60" s="1" t="s">
        <v>63</v>
      </c>
      <c r="D60" s="1">
        <v>267</v>
      </c>
      <c r="E60" s="1"/>
      <c r="F60" s="1" t="s">
        <v>21</v>
      </c>
      <c r="G60" s="1" t="str">
        <f>HYPERLINK("http://www.stromypodkontrolou.cz/map/?draw_selection_circle=1#%7B%22lat%22%3A%2049.6717044890993%2C%20%22lng%22%3A%2018.6794294326991%2C%20%22zoom%22%3A%2020%7D")</f>
        <v>http://www.stromypodkontrolou.cz/map/?draw_selection_circle=1#%7B%22lat%22%3A%2049.6717044890993%2C%20%22lng%22%3A%2018.6794294326991%2C%20%22zoom%22%3A%2020%7D</v>
      </c>
    </row>
    <row r="61" spans="1:7" ht="12.75">
      <c r="A61" s="1" t="s">
        <v>7</v>
      </c>
      <c r="B61" s="1" t="s">
        <v>8</v>
      </c>
      <c r="C61" s="1" t="s">
        <v>64</v>
      </c>
      <c r="D61" s="1">
        <v>50</v>
      </c>
      <c r="E61" s="1"/>
      <c r="F61" s="1" t="s">
        <v>10</v>
      </c>
      <c r="G61" s="1" t="str">
        <f>HYPERLINK("http://www.stromypodkontrolou.cz/map/?draw_selection_circle=1#%7B%22lat%22%3A%2049.6631931753%2C%20%22lng%22%3A%2018.6850327648%2C%20%22zoom%22%3A%2020%7D")</f>
        <v>http://www.stromypodkontrolou.cz/map/?draw_selection_circle=1#%7B%22lat%22%3A%2049.6631931753%2C%20%22lng%22%3A%2018.6850327648%2C%20%22zoom%22%3A%2020%7D</v>
      </c>
    </row>
    <row r="62" spans="1:7" ht="12.75">
      <c r="A62" s="1" t="s">
        <v>7</v>
      </c>
      <c r="B62" s="1" t="s">
        <v>8</v>
      </c>
      <c r="C62" s="1" t="s">
        <v>48</v>
      </c>
      <c r="D62" s="1">
        <v>25</v>
      </c>
      <c r="E62" s="1"/>
      <c r="F62" s="1" t="s">
        <v>24</v>
      </c>
      <c r="G62" s="1" t="str">
        <f>HYPERLINK("http://www.stromypodkontrolou.cz/map/?draw_selection_circle=1#%7B%22lat%22%3A%2049.6637656491114%2C%20%22lng%22%3A%2018.6877088215842%2C%20%22zoom%22%3A%2020%7D")</f>
        <v>http://www.stromypodkontrolou.cz/map/?draw_selection_circle=1#%7B%22lat%22%3A%2049.6637656491114%2C%20%22lng%22%3A%2018.6877088215842%2C%20%22zoom%22%3A%2020%7D</v>
      </c>
    </row>
    <row r="63" spans="1:7" ht="12.75">
      <c r="A63" s="1" t="s">
        <v>7</v>
      </c>
      <c r="B63" s="1" t="s">
        <v>8</v>
      </c>
      <c r="C63" s="1" t="s">
        <v>48</v>
      </c>
      <c r="D63" s="1">
        <v>28</v>
      </c>
      <c r="E63" s="1"/>
      <c r="F63" s="1" t="s">
        <v>24</v>
      </c>
      <c r="G63" s="1" t="str">
        <f>HYPERLINK("http://www.stromypodkontrolou.cz/map/?draw_selection_circle=1#%7B%22lat%22%3A%2049.6637106767%2C%20%22lng%22%3A%2018.6874993425%2C%20%22zoom%22%3A%2020%7D")</f>
        <v>http://www.stromypodkontrolou.cz/map/?draw_selection_circle=1#%7B%22lat%22%3A%2049.6637106767%2C%20%22lng%22%3A%2018.6874993425%2C%20%22zoom%22%3A%2020%7D</v>
      </c>
    </row>
    <row r="64" spans="1:7" ht="12.75">
      <c r="A64" s="1" t="s">
        <v>7</v>
      </c>
      <c r="B64" s="1" t="s">
        <v>8</v>
      </c>
      <c r="C64" s="1" t="s">
        <v>48</v>
      </c>
      <c r="D64" s="1">
        <v>17</v>
      </c>
      <c r="E64" s="1"/>
      <c r="F64" s="1" t="s">
        <v>24</v>
      </c>
      <c r="G64" s="1" t="str">
        <f>HYPERLINK("http://www.stromypodkontrolou.cz/map/?draw_selection_circle=1#%7B%22lat%22%3A%2049.6636703819334%2C%20%22lng%22%3A%2018.6877297905806%2C%20%22zoom%22%3A%2020%7D")</f>
        <v>http://www.stromypodkontrolou.cz/map/?draw_selection_circle=1#%7B%22lat%22%3A%2049.6636703819334%2C%20%22lng%22%3A%2018.6877297905806%2C%20%22zoom%22%3A%2020%7D</v>
      </c>
    </row>
    <row r="65" spans="1:7" ht="12.75">
      <c r="A65" s="1" t="s">
        <v>7</v>
      </c>
      <c r="B65" s="1" t="s">
        <v>8</v>
      </c>
      <c r="C65" s="1" t="s">
        <v>48</v>
      </c>
      <c r="D65" s="1">
        <v>40</v>
      </c>
      <c r="E65" s="1"/>
      <c r="F65" s="1" t="s">
        <v>24</v>
      </c>
      <c r="G65" s="1" t="str">
        <f>HYPERLINK("http://www.stromypodkontrolou.cz/map/?draw_selection_circle=1#%7B%22lat%22%3A%2049.6639721999%2C%20%22lng%22%3A%2018.6875923833%2C%20%22zoom%22%3A%2020%7D")</f>
        <v>http://www.stromypodkontrolou.cz/map/?draw_selection_circle=1#%7B%22lat%22%3A%2049.6639721999%2C%20%22lng%22%3A%2018.6875923833%2C%20%22zoom%22%3A%2020%7D</v>
      </c>
    </row>
    <row r="66" spans="1:7" ht="12.75">
      <c r="A66" s="1" t="s">
        <v>7</v>
      </c>
      <c r="B66" s="1" t="s">
        <v>8</v>
      </c>
      <c r="C66" s="1" t="s">
        <v>33</v>
      </c>
      <c r="D66" s="1">
        <v>29</v>
      </c>
      <c r="E66" s="1"/>
      <c r="F66" s="1" t="s">
        <v>42</v>
      </c>
      <c r="G66" s="1" t="str">
        <f>HYPERLINK("http://www.stromypodkontrolou.cz/map/?draw_selection_circle=1#%7B%22lat%22%3A%2049.6612946721281%2C%20%22lng%22%3A%2018.6763035591501%2C%20%22zoom%22%3A%2020%7D")</f>
        <v>http://www.stromypodkontrolou.cz/map/?draw_selection_circle=1#%7B%22lat%22%3A%2049.6612946721281%2C%20%22lng%22%3A%2018.6763035591501%2C%20%22zoom%22%3A%2020%7D</v>
      </c>
    </row>
    <row r="67" spans="1:7" ht="12.75">
      <c r="A67" s="1" t="s">
        <v>7</v>
      </c>
      <c r="B67" s="1" t="s">
        <v>8</v>
      </c>
      <c r="C67" s="1" t="s">
        <v>26</v>
      </c>
      <c r="D67" s="1">
        <v>336</v>
      </c>
      <c r="E67" s="1"/>
      <c r="F67" s="1" t="s">
        <v>65</v>
      </c>
      <c r="G67" s="1" t="str">
        <f>HYPERLINK("http://www.stromypodkontrolou.cz/map/?draw_selection_circle=1#%7B%22lat%22%3A%2049.6613551216356%2C%20%22lng%22%3A%2018.6762428496759%2C%20%22zoom%22%3A%2020%7D")</f>
        <v>http://www.stromypodkontrolou.cz/map/?draw_selection_circle=1#%7B%22lat%22%3A%2049.6613551216356%2C%20%22lng%22%3A%2018.6762428496759%2C%20%22zoom%22%3A%2020%7D</v>
      </c>
    </row>
    <row r="68" spans="1:7" ht="12.75">
      <c r="A68" s="1" t="s">
        <v>7</v>
      </c>
      <c r="B68" s="1" t="s">
        <v>8</v>
      </c>
      <c r="C68" s="1" t="s">
        <v>33</v>
      </c>
      <c r="D68" s="1">
        <v>27</v>
      </c>
      <c r="E68" s="1"/>
      <c r="F68" s="1" t="s">
        <v>42</v>
      </c>
      <c r="G68" s="1" t="str">
        <f>HYPERLINK("http://www.stromypodkontrolou.cz/map/?draw_selection_circle=1#%7B%22lat%22%3A%2049.6613069079539%2C%20%22lng%22%3A%2018.6762818281498%2C%20%22zoom%22%3A%2020%7D")</f>
        <v>http://www.stromypodkontrolou.cz/map/?draw_selection_circle=1#%7B%22lat%22%3A%2049.6613069079539%2C%20%22lng%22%3A%2018.6762818281498%2C%20%22zoom%22%3A%2020%7D</v>
      </c>
    </row>
    <row r="69" spans="1:7" ht="12.75">
      <c r="A69" s="1" t="s">
        <v>7</v>
      </c>
      <c r="B69" s="1" t="s">
        <v>8</v>
      </c>
      <c r="C69" s="1" t="s">
        <v>66</v>
      </c>
      <c r="D69" s="1">
        <v>138</v>
      </c>
      <c r="E69" s="1"/>
      <c r="F69" s="1" t="s">
        <v>13</v>
      </c>
      <c r="G69" s="1" t="str">
        <f>HYPERLINK("http://www.stromypodkontrolou.cz/map/?draw_selection_circle=1#%7B%22lat%22%3A%2049.6628522846096%2C%20%22lng%22%3A%2018.6827307817603%2C%20%22zoom%22%3A%2020%7D")</f>
        <v>http://www.stromypodkontrolou.cz/map/?draw_selection_circle=1#%7B%22lat%22%3A%2049.6628522846096%2C%20%22lng%22%3A%2018.6827307817603%2C%20%22zoom%22%3A%2020%7D</v>
      </c>
    </row>
    <row r="70" spans="1:7" ht="12.75">
      <c r="A70" s="1" t="s">
        <v>7</v>
      </c>
      <c r="B70" s="1" t="s">
        <v>8</v>
      </c>
      <c r="C70" s="1" t="s">
        <v>66</v>
      </c>
      <c r="D70" s="1">
        <v>139</v>
      </c>
      <c r="E70" s="1"/>
      <c r="F70" s="1" t="s">
        <v>13</v>
      </c>
      <c r="G70" s="1" t="str">
        <f>HYPERLINK("http://www.stromypodkontrolou.cz/map/?draw_selection_circle=1#%7B%22lat%22%3A%2049.6628429816888%2C%20%22lng%22%3A%2018.6827356156904%2C%20%22zoom%22%3A%2020%7D")</f>
        <v>http://www.stromypodkontrolou.cz/map/?draw_selection_circle=1#%7B%22lat%22%3A%2049.6628429816888%2C%20%22lng%22%3A%2018.6827356156904%2C%20%22zoom%22%3A%2020%7D</v>
      </c>
    </row>
    <row r="71" spans="1:7" ht="12.75">
      <c r="A71" s="1" t="s">
        <v>7</v>
      </c>
      <c r="B71" s="1" t="s">
        <v>8</v>
      </c>
      <c r="C71" s="1" t="s">
        <v>35</v>
      </c>
      <c r="D71" s="1">
        <v>36</v>
      </c>
      <c r="E71" s="1"/>
      <c r="F71" s="1" t="s">
        <v>67</v>
      </c>
      <c r="G71" s="1" t="str">
        <f>HYPERLINK("http://www.stromypodkontrolou.cz/map/?draw_selection_circle=1#%7B%22lat%22%3A%2049.6677278845626%2C%20%22lng%22%3A%2018.6792238795041%2C%20%22zoom%22%3A%2020%7D")</f>
        <v>http://www.stromypodkontrolou.cz/map/?draw_selection_circle=1#%7B%22lat%22%3A%2049.6677278845626%2C%20%22lng%22%3A%2018.6792238795041%2C%20%22zoom%22%3A%2020%7D</v>
      </c>
    </row>
    <row r="72" spans="1:7" ht="12.75">
      <c r="A72" s="1" t="s">
        <v>7</v>
      </c>
      <c r="B72" s="1" t="s">
        <v>8</v>
      </c>
      <c r="C72" s="1" t="s">
        <v>68</v>
      </c>
      <c r="D72" s="1">
        <v>16</v>
      </c>
      <c r="E72" s="1" t="s">
        <v>69</v>
      </c>
      <c r="F72" s="1" t="s">
        <v>70</v>
      </c>
      <c r="G72" s="1" t="str">
        <f>HYPERLINK("http://www.stromypodkontrolou.cz/map/?draw_selection_circle=1#%7B%22lat%22%3A%2049.66808010645%2C%20%22lng%22%3A%2018.6794141173391%2C%20%22zoom%22%3A%2020%7D")</f>
        <v>http://www.stromypodkontrolou.cz/map/?draw_selection_circle=1#%7B%22lat%22%3A%2049.66808010645%2C%20%22lng%22%3A%2018.6794141173391%2C%20%22zoom%22%3A%2020%7D</v>
      </c>
    </row>
    <row r="73" spans="1:7" ht="12.75">
      <c r="A73" s="1" t="s">
        <v>7</v>
      </c>
      <c r="B73" s="1" t="s">
        <v>8</v>
      </c>
      <c r="C73" s="1" t="s">
        <v>68</v>
      </c>
      <c r="D73" s="1">
        <v>4</v>
      </c>
      <c r="E73" s="1" t="s">
        <v>71</v>
      </c>
      <c r="F73" s="1" t="s">
        <v>23</v>
      </c>
      <c r="G73" s="1" t="str">
        <f>HYPERLINK("http://www.stromypodkontrolou.cz/map/?draw_selection_circle=1#%7B%22lat%22%3A%2049.6682601064435%2C%20%22lng%22%3A%2018.6790091172012%2C%20%22zoom%22%3A%2020%7D")</f>
        <v>http://www.stromypodkontrolou.cz/map/?draw_selection_circle=1#%7B%22lat%22%3A%2049.6682601064435%2C%20%22lng%22%3A%2018.6790091172012%2C%20%22zoom%22%3A%2020%7D</v>
      </c>
    </row>
    <row r="74" spans="1:7" ht="12.75">
      <c r="A74" s="1" t="s">
        <v>7</v>
      </c>
      <c r="B74" s="1" t="s">
        <v>8</v>
      </c>
      <c r="C74" s="1" t="s">
        <v>25</v>
      </c>
      <c r="D74" s="1">
        <v>109</v>
      </c>
      <c r="E74" s="1"/>
      <c r="F74" s="1" t="s">
        <v>28</v>
      </c>
      <c r="G74" s="1" t="str">
        <f>HYPERLINK("http://www.stromypodkontrolou.cz/map/?draw_selection_circle=1#%7B%22lat%22%3A%2049.6653533968419%2C%20%22lng%22%3A%2018.6730397384373%2C%20%22zoom%22%3A%2020%7D")</f>
        <v>http://www.stromypodkontrolou.cz/map/?draw_selection_circle=1#%7B%22lat%22%3A%2049.6653533968419%2C%20%22lng%22%3A%2018.6730397384373%2C%20%22zoom%22%3A%2020%7D</v>
      </c>
    </row>
    <row r="75" spans="1:7" ht="12.75">
      <c r="A75" s="1" t="s">
        <v>7</v>
      </c>
      <c r="B75" s="1" t="s">
        <v>8</v>
      </c>
      <c r="C75" s="1" t="s">
        <v>25</v>
      </c>
      <c r="D75" s="1">
        <v>102</v>
      </c>
      <c r="E75" s="1"/>
      <c r="F75" s="1" t="s">
        <v>41</v>
      </c>
      <c r="G75" s="1" t="str">
        <f>HYPERLINK("http://www.stromypodkontrolou.cz/map/?draw_selection_circle=1#%7B%22lat%22%3A%2049.6657759714852%2C%20%22lng%22%3A%2018.6726406818739%2C%20%22zoom%22%3A%2020%7D")</f>
        <v>http://www.stromypodkontrolou.cz/map/?draw_selection_circle=1#%7B%22lat%22%3A%2049.6657759714852%2C%20%22lng%22%3A%2018.6726406818739%2C%20%22zoom%22%3A%2020%7D</v>
      </c>
    </row>
    <row r="76" spans="1:7" ht="12.75">
      <c r="A76" s="1" t="s">
        <v>7</v>
      </c>
      <c r="B76" s="1" t="s">
        <v>8</v>
      </c>
      <c r="C76" s="1" t="s">
        <v>26</v>
      </c>
      <c r="D76" s="1">
        <v>213</v>
      </c>
      <c r="E76" s="1"/>
      <c r="F76" s="1" t="s">
        <v>13</v>
      </c>
      <c r="G76" s="1" t="str">
        <f>HYPERLINK("http://www.stromypodkontrolou.cz/map/?draw_selection_circle=1#%7B%22lat%22%3A%2049.6646778155%2C%20%22lng%22%3A%2018.6738312779%2C%20%22zoom%22%3A%2020%7D")</f>
        <v>http://www.stromypodkontrolou.cz/map/?draw_selection_circle=1#%7B%22lat%22%3A%2049.6646778155%2C%20%22lng%22%3A%2018.6738312779%2C%20%22zoom%22%3A%2020%7D</v>
      </c>
    </row>
    <row r="77" spans="1:7" ht="12.75">
      <c r="A77" s="1" t="s">
        <v>7</v>
      </c>
      <c r="B77" s="1" t="s">
        <v>8</v>
      </c>
      <c r="C77" s="1" t="s">
        <v>26</v>
      </c>
      <c r="D77" s="1">
        <v>214</v>
      </c>
      <c r="E77" s="1"/>
      <c r="F77" s="1" t="s">
        <v>28</v>
      </c>
      <c r="G77" s="1" t="str">
        <f>HYPERLINK("http://www.stromypodkontrolou.cz/map/?draw_selection_circle=1#%7B%22lat%22%3A%2049.6646641294%2C%20%22lng%22%3A%2018.673866125%2C%20%22zoom%22%3A%2020%7D")</f>
        <v>http://www.stromypodkontrolou.cz/map/?draw_selection_circle=1#%7B%22lat%22%3A%2049.6646641294%2C%20%22lng%22%3A%2018.673866125%2C%20%22zoom%22%3A%2020%7D</v>
      </c>
    </row>
    <row r="78" spans="1:7" ht="12.75">
      <c r="A78" s="1" t="s">
        <v>7</v>
      </c>
      <c r="B78" s="1" t="s">
        <v>8</v>
      </c>
      <c r="C78" s="1" t="s">
        <v>26</v>
      </c>
      <c r="D78" s="1">
        <v>287</v>
      </c>
      <c r="E78" s="1"/>
      <c r="F78" s="1" t="s">
        <v>72</v>
      </c>
      <c r="G78" s="1" t="str">
        <f>HYPERLINK("http://www.stromypodkontrolou.cz/map/?draw_selection_circle=1#%7B%22lat%22%3A%2049.6651969921372%2C%20%22lng%22%3A%2018.6740638464872%2C%20%22zoom%22%3A%2020%7D")</f>
        <v>http://www.stromypodkontrolou.cz/map/?draw_selection_circle=1#%7B%22lat%22%3A%2049.6651969921372%2C%20%22lng%22%3A%2018.6740638464872%2C%20%22zoom%22%3A%2020%7D</v>
      </c>
    </row>
    <row r="79" spans="1:7" ht="12.75">
      <c r="A79" s="1" t="s">
        <v>7</v>
      </c>
      <c r="B79" s="1" t="s">
        <v>8</v>
      </c>
      <c r="C79" s="1" t="s">
        <v>43</v>
      </c>
      <c r="D79" s="1">
        <v>180</v>
      </c>
      <c r="E79" s="1"/>
      <c r="F79" s="1" t="s">
        <v>45</v>
      </c>
      <c r="G79" s="1" t="str">
        <f>HYPERLINK("http://www.stromypodkontrolou.cz/map/?draw_selection_circle=1#%7B%22lat%22%3A%2049.6759660020219%2C%20%22lng%22%3A%2018.668533640637%2C%20%22zoom%22%3A%2020%7D")</f>
        <v>http://www.stromypodkontrolou.cz/map/?draw_selection_circle=1#%7B%22lat%22%3A%2049.6759660020219%2C%20%22lng%22%3A%2018.668533640637%2C%20%22zoom%22%3A%2020%7D</v>
      </c>
    </row>
    <row r="80" spans="1:7" ht="12.75">
      <c r="A80" s="1" t="s">
        <v>7</v>
      </c>
      <c r="B80" s="1" t="s">
        <v>8</v>
      </c>
      <c r="C80" s="1" t="s">
        <v>38</v>
      </c>
      <c r="D80" s="1">
        <v>84</v>
      </c>
      <c r="E80" s="1"/>
      <c r="F80" s="1" t="s">
        <v>24</v>
      </c>
      <c r="G80" s="1" t="str">
        <f>HYPERLINK("http://www.stromypodkontrolou.cz/map/?draw_selection_circle=1#%7B%22lat%22%3A%2049.6621202628836%2C%20%22lng%22%3A%2018.678069907652%2C%20%22zoom%22%3A%2020%7D")</f>
        <v>http://www.stromypodkontrolou.cz/map/?draw_selection_circle=1#%7B%22lat%22%3A%2049.6621202628836%2C%20%22lng%22%3A%2018.678069907652%2C%20%22zoom%22%3A%2020%7D</v>
      </c>
    </row>
    <row r="81" spans="1:7" ht="12.75">
      <c r="A81" s="1" t="s">
        <v>7</v>
      </c>
      <c r="B81" s="1" t="s">
        <v>8</v>
      </c>
      <c r="C81" s="1" t="s">
        <v>73</v>
      </c>
      <c r="D81" s="1">
        <v>150</v>
      </c>
      <c r="E81" s="1"/>
      <c r="F81" s="1" t="s">
        <v>11</v>
      </c>
      <c r="G81" s="1" t="str">
        <f>HYPERLINK("http://www.stromypodkontrolou.cz/map/?draw_selection_circle=1#%7B%22lat%22%3A%2049.6630612898914%2C%20%22lng%22%3A%2018.6782923169975%2C%20%22zoom%22%3A%2020%7D")</f>
        <v>http://www.stromypodkontrolou.cz/map/?draw_selection_circle=1#%7B%22lat%22%3A%2049.6630612898914%2C%20%22lng%22%3A%2018.6782923169975%2C%20%22zoom%22%3A%2020%7D</v>
      </c>
    </row>
    <row r="82" spans="1:7" ht="12.75">
      <c r="A82" s="1" t="s">
        <v>7</v>
      </c>
      <c r="B82" s="1" t="s">
        <v>8</v>
      </c>
      <c r="C82" s="1" t="s">
        <v>74</v>
      </c>
      <c r="D82" s="1">
        <v>97</v>
      </c>
      <c r="E82" s="1"/>
      <c r="F82" s="1" t="s">
        <v>11</v>
      </c>
      <c r="G82" s="1" t="str">
        <f>HYPERLINK("http://www.stromypodkontrolou.cz/map/?draw_selection_circle=1#%7B%22lat%22%3A%2049.6782768486776%2C%20%22lng%22%3A%2018.6670023682137%2C%20%22zoom%22%3A%2020%7D")</f>
        <v>http://www.stromypodkontrolou.cz/map/?draw_selection_circle=1#%7B%22lat%22%3A%2049.6782768486776%2C%20%22lng%22%3A%2018.6670023682137%2C%20%22zoom%22%3A%2020%7D</v>
      </c>
    </row>
    <row r="83" spans="1:7" ht="12.75">
      <c r="A83" s="1" t="s">
        <v>7</v>
      </c>
      <c r="B83" s="1" t="s">
        <v>8</v>
      </c>
      <c r="C83" s="1" t="s">
        <v>75</v>
      </c>
      <c r="D83" s="1">
        <v>1</v>
      </c>
      <c r="E83" s="1"/>
      <c r="F83" s="1" t="s">
        <v>11</v>
      </c>
      <c r="G83" s="1" t="str">
        <f>HYPERLINK("http://www.stromypodkontrolou.cz/map/?draw_selection_circle=1#%7B%22lat%22%3A%2049.671932940084%2C%20%22lng%22%3A%2018.6731960012067%2C%20%22zoom%22%3A%2020%7D")</f>
        <v>http://www.stromypodkontrolou.cz/map/?draw_selection_circle=1#%7B%22lat%22%3A%2049.671932940084%2C%20%22lng%22%3A%2018.6731960012067%2C%20%22zoom%22%3A%2020%7D</v>
      </c>
    </row>
    <row r="84" spans="1:7" ht="12.75">
      <c r="A84" s="1" t="s">
        <v>7</v>
      </c>
      <c r="B84" s="1" t="s">
        <v>8</v>
      </c>
      <c r="C84" s="1" t="s">
        <v>76</v>
      </c>
      <c r="D84" s="1">
        <v>8</v>
      </c>
      <c r="E84" s="1"/>
      <c r="F84" s="1" t="s">
        <v>77</v>
      </c>
      <c r="G84" s="1" t="str">
        <f>HYPERLINK("http://www.stromypodkontrolou.cz/map/?draw_selection_circle=1#%7B%22lat%22%3A%2049.6716136120666%2C%20%22lng%22%3A%2018.6753868267092%2C%20%22zoom%22%3A%2020%7D")</f>
        <v>http://www.stromypodkontrolou.cz/map/?draw_selection_circle=1#%7B%22lat%22%3A%2049.6716136120666%2C%20%22lng%22%3A%2018.6753868267092%2C%20%22zoom%22%3A%2020%7D</v>
      </c>
    </row>
    <row r="85" spans="1:7" ht="12.75">
      <c r="A85" s="1" t="s">
        <v>7</v>
      </c>
      <c r="B85" s="1" t="s">
        <v>8</v>
      </c>
      <c r="C85" s="1" t="s">
        <v>78</v>
      </c>
      <c r="D85" s="1">
        <v>48</v>
      </c>
      <c r="E85" s="1" t="s">
        <v>79</v>
      </c>
      <c r="F85" s="1" t="s">
        <v>11</v>
      </c>
      <c r="G85" s="1" t="str">
        <f>HYPERLINK("http://www.stromypodkontrolou.cz/map/?draw_selection_circle=1#%7B%22lat%22%3A%2049.6715601162282%2C%20%22lng%22%3A%2018.6734821278283%2C%20%22zoom%22%3A%2020%7D")</f>
        <v>http://www.stromypodkontrolou.cz/map/?draw_selection_circle=1#%7B%22lat%22%3A%2049.6715601162282%2C%20%22lng%22%3A%2018.6734821278283%2C%20%22zoom%22%3A%2020%7D</v>
      </c>
    </row>
    <row r="86" spans="1:7" ht="12.75">
      <c r="A86" s="1" t="s">
        <v>7</v>
      </c>
      <c r="B86" s="1" t="s">
        <v>8</v>
      </c>
      <c r="C86" s="1" t="s">
        <v>78</v>
      </c>
      <c r="D86" s="1">
        <v>29</v>
      </c>
      <c r="E86" s="1" t="s">
        <v>80</v>
      </c>
      <c r="F86" s="1" t="s">
        <v>11</v>
      </c>
      <c r="G86" s="1" t="str">
        <f>HYPERLINK("http://www.stromypodkontrolou.cz/map/?draw_selection_circle=1#%7B%22lat%22%3A%2049.672052034141%2C%20%22lng%22%3A%2018.6727801497892%2C%20%22zoom%22%3A%2020%7D")</f>
        <v>http://www.stromypodkontrolou.cz/map/?draw_selection_circle=1#%7B%22lat%22%3A%2049.672052034141%2C%20%22lng%22%3A%2018.6727801497892%2C%20%22zoom%22%3A%2020%7D</v>
      </c>
    </row>
    <row r="87" spans="1:7" ht="12.75">
      <c r="A87" s="1" t="s">
        <v>7</v>
      </c>
      <c r="B87" s="1" t="s">
        <v>8</v>
      </c>
      <c r="C87" s="1" t="s">
        <v>81</v>
      </c>
      <c r="D87" s="1">
        <v>351</v>
      </c>
      <c r="E87" s="1"/>
      <c r="F87" s="1" t="s">
        <v>44</v>
      </c>
      <c r="G87" s="1" t="str">
        <f>HYPERLINK("http://www.stromypodkontrolou.cz/map/?draw_selection_circle=1#%7B%22lat%22%3A%2049.6673601298505%2C%20%22lng%22%3A%2018.6766464750138%2C%20%22zoom%22%3A%2020%7D")</f>
        <v>http://www.stromypodkontrolou.cz/map/?draw_selection_circle=1#%7B%22lat%22%3A%2049.6673601298505%2C%20%22lng%22%3A%2018.6766464750138%2C%20%22zoom%22%3A%2020%7D</v>
      </c>
    </row>
    <row r="88" spans="1:7" ht="12.75">
      <c r="A88" s="1" t="s">
        <v>7</v>
      </c>
      <c r="B88" s="1" t="s">
        <v>8</v>
      </c>
      <c r="C88" s="1" t="s">
        <v>82</v>
      </c>
      <c r="D88" s="1">
        <v>13</v>
      </c>
      <c r="E88" s="1"/>
      <c r="F88" s="1" t="s">
        <v>13</v>
      </c>
      <c r="G88" s="1" t="str">
        <f>HYPERLINK("http://www.stromypodkontrolou.cz/map/?draw_selection_circle=1#%7B%22lat%22%3A%2049.6682805378823%2C%20%22lng%22%3A%2018.677433592492%2C%20%22zoom%22%3A%2020%7D")</f>
        <v>http://www.stromypodkontrolou.cz/map/?draw_selection_circle=1#%7B%22lat%22%3A%2049.6682805378823%2C%20%22lng%22%3A%2018.677433592492%2C%20%22zoom%22%3A%2020%7D</v>
      </c>
    </row>
    <row r="89" spans="1:7" ht="12.75">
      <c r="A89" s="1" t="s">
        <v>7</v>
      </c>
      <c r="B89" s="1" t="s">
        <v>8</v>
      </c>
      <c r="C89" s="1" t="s">
        <v>33</v>
      </c>
      <c r="D89" s="1">
        <v>25</v>
      </c>
      <c r="E89" s="1"/>
      <c r="F89" s="1" t="s">
        <v>67</v>
      </c>
      <c r="G89" s="1" t="str">
        <f>HYPERLINK("http://www.stromypodkontrolou.cz/map/?draw_selection_circle=1#%7B%22lat%22%3A%2049.6613244948632%2C%20%22lng%22%3A%2018.6762589978198%2C%20%22zoom%22%3A%2020%7D")</f>
        <v>http://www.stromypodkontrolou.cz/map/?draw_selection_circle=1#%7B%22lat%22%3A%2049.6613244948632%2C%20%22lng%22%3A%2018.6762589978198%2C%20%22zoom%22%3A%2020%7D</v>
      </c>
    </row>
    <row r="90" spans="1:7" ht="12.75">
      <c r="A90" s="1" t="s">
        <v>7</v>
      </c>
      <c r="B90" s="1" t="s">
        <v>8</v>
      </c>
      <c r="C90" s="1" t="s">
        <v>25</v>
      </c>
      <c r="D90" s="1">
        <v>181</v>
      </c>
      <c r="E90" s="1"/>
      <c r="F90" s="1" t="s">
        <v>14</v>
      </c>
      <c r="G90" s="1" t="str">
        <f>HYPERLINK("http://www.stromypodkontrolou.cz/map/?draw_selection_circle=1#%7B%22lat%22%3A%2049.6628873175196%2C%20%22lng%22%3A%2018.671821249377%2C%20%22zoom%22%3A%2020%7D")</f>
        <v>http://www.stromypodkontrolou.cz/map/?draw_selection_circle=1#%7B%22lat%22%3A%2049.6628873175196%2C%20%22lng%22%3A%2018.671821249377%2C%20%22zoom%22%3A%2020%7D</v>
      </c>
    </row>
    <row r="91" spans="1:7" ht="12.75">
      <c r="A91" s="1" t="s">
        <v>7</v>
      </c>
      <c r="B91" s="1" t="s">
        <v>8</v>
      </c>
      <c r="C91" s="1" t="s">
        <v>56</v>
      </c>
      <c r="D91" s="1">
        <v>238</v>
      </c>
      <c r="E91" s="1"/>
      <c r="F91" s="1" t="s">
        <v>83</v>
      </c>
      <c r="G91" s="1" t="str">
        <f>HYPERLINK("http://www.stromypodkontrolou.cz/map/?draw_selection_circle=1#%7B%22lat%22%3A%2049.6727326543704%2C%20%22lng%22%3A%2018.670406486463%2C%20%22zoom%22%3A%2020%7D")</f>
        <v>http://www.stromypodkontrolou.cz/map/?draw_selection_circle=1#%7B%22lat%22%3A%2049.6727326543704%2C%20%22lng%22%3A%2018.670406486463%2C%20%22zoom%22%3A%2020%7D</v>
      </c>
    </row>
    <row r="92" spans="1:7" ht="12.75">
      <c r="A92" s="1" t="s">
        <v>7</v>
      </c>
      <c r="B92" s="1" t="s">
        <v>8</v>
      </c>
      <c r="C92" s="1" t="s">
        <v>84</v>
      </c>
      <c r="D92" s="1">
        <v>168</v>
      </c>
      <c r="E92" s="1"/>
      <c r="F92" s="1" t="s">
        <v>31</v>
      </c>
      <c r="G92" s="1" t="str">
        <f>HYPERLINK("http://www.stromypodkontrolou.cz/map/?draw_selection_circle=1#%7B%22lat%22%3A%2049.6721013030054%2C%20%22lng%22%3A%2018.6721210799937%2C%20%22zoom%22%3A%2020%7D")</f>
        <v>http://www.stromypodkontrolou.cz/map/?draw_selection_circle=1#%7B%22lat%22%3A%2049.6721013030054%2C%20%22lng%22%3A%2018.6721210799937%2C%20%22zoom%22%3A%2020%7D</v>
      </c>
    </row>
    <row r="93" spans="1:7" ht="12.75">
      <c r="A93" s="1" t="s">
        <v>7</v>
      </c>
      <c r="B93" s="1" t="s">
        <v>8</v>
      </c>
      <c r="C93" s="1" t="s">
        <v>16</v>
      </c>
      <c r="D93" s="1">
        <v>123</v>
      </c>
      <c r="E93" s="1"/>
      <c r="F93" s="1" t="s">
        <v>17</v>
      </c>
      <c r="G93" s="1" t="str">
        <f>HYPERLINK("http://www.stromypodkontrolou.cz/map/?draw_selection_circle=1#%7B%22lat%22%3A%2049.6712822841799%2C%20%22lng%22%3A%2018.6694974409746%2C%20%22zoom%22%3A%2020%7D")</f>
        <v>http://www.stromypodkontrolou.cz/map/?draw_selection_circle=1#%7B%22lat%22%3A%2049.6712822841799%2C%20%22lng%22%3A%2018.6694974409746%2C%20%22zoom%22%3A%2020%7D</v>
      </c>
    </row>
    <row r="94" spans="1:7" ht="12.75">
      <c r="A94" s="1" t="s">
        <v>7</v>
      </c>
      <c r="B94" s="1" t="s">
        <v>8</v>
      </c>
      <c r="C94" s="1" t="s">
        <v>85</v>
      </c>
      <c r="D94" s="1">
        <v>10</v>
      </c>
      <c r="E94" s="1"/>
      <c r="F94" s="1" t="s">
        <v>14</v>
      </c>
      <c r="G94" s="1" t="str">
        <f>HYPERLINK("http://www.stromypodkontrolou.cz/map/?draw_selection_circle=1#%7B%22lat%22%3A%2049.6709015522%2C%20%22lng%22%3A%2018.6694122325%2C%20%22zoom%22%3A%2020%7D")</f>
        <v>http://www.stromypodkontrolou.cz/map/?draw_selection_circle=1#%7B%22lat%22%3A%2049.6709015522%2C%20%22lng%22%3A%2018.6694122325%2C%20%22zoom%22%3A%2020%7D</v>
      </c>
    </row>
    <row r="95" spans="1:7" ht="12.75">
      <c r="A95" s="1" t="s">
        <v>7</v>
      </c>
      <c r="B95" s="1" t="s">
        <v>8</v>
      </c>
      <c r="C95" s="1" t="s">
        <v>63</v>
      </c>
      <c r="D95" s="1">
        <v>264</v>
      </c>
      <c r="E95" s="1"/>
      <c r="F95" s="1" t="s">
        <v>21</v>
      </c>
      <c r="G95" s="1" t="str">
        <f>HYPERLINK("http://www.stromypodkontrolou.cz/map/?draw_selection_circle=1#%7B%22lat%22%3A%2049.6716791454874%2C%20%22lng%22%3A%2018.6794473015922%2C%20%22zoom%22%3A%2020%7D")</f>
        <v>http://www.stromypodkontrolou.cz/map/?draw_selection_circle=1#%7B%22lat%22%3A%2049.6716791454874%2C%20%22lng%22%3A%2018.6794473015922%2C%20%22zoom%22%3A%2020%7D</v>
      </c>
    </row>
    <row r="96" spans="1:7" ht="12.75">
      <c r="A96" s="1" t="s">
        <v>7</v>
      </c>
      <c r="B96" s="1" t="s">
        <v>8</v>
      </c>
      <c r="C96" s="1" t="s">
        <v>63</v>
      </c>
      <c r="D96" s="1">
        <v>113</v>
      </c>
      <c r="E96" s="1"/>
      <c r="F96" s="1" t="s">
        <v>21</v>
      </c>
      <c r="G96" s="1" t="str">
        <f>HYPERLINK("http://www.stromypodkontrolou.cz/map/?draw_selection_circle=1#%7B%22lat%22%3A%2049.6715472439013%2C%20%22lng%22%3A%2018.6795916788958%2C%20%22zoom%22%3A%2020%7D")</f>
        <v>http://www.stromypodkontrolou.cz/map/?draw_selection_circle=1#%7B%22lat%22%3A%2049.6715472439013%2C%20%22lng%22%3A%2018.6795916788958%2C%20%22zoom%22%3A%2020%7D</v>
      </c>
    </row>
    <row r="97" spans="1:7" ht="12.75">
      <c r="A97" s="1" t="s">
        <v>7</v>
      </c>
      <c r="B97" s="1" t="s">
        <v>8</v>
      </c>
      <c r="C97" s="1" t="s">
        <v>78</v>
      </c>
      <c r="D97" s="1">
        <v>19</v>
      </c>
      <c r="E97" s="1" t="s">
        <v>86</v>
      </c>
      <c r="F97" s="1" t="s">
        <v>87</v>
      </c>
      <c r="G97" s="1" t="str">
        <f>HYPERLINK("http://www.stromypodkontrolou.cz/map/?draw_selection_circle=1#%7B%22lat%22%3A%2049.6723090968553%2C%20%22lng%22%3A%2018.6724791065184%2C%20%22zoom%22%3A%2020%7D")</f>
        <v>http://www.stromypodkontrolou.cz/map/?draw_selection_circle=1#%7B%22lat%22%3A%2049.6723090968553%2C%20%22lng%22%3A%2018.6724791065184%2C%20%22zoom%22%3A%2020%7D</v>
      </c>
    </row>
    <row r="98" spans="1:7" ht="12.75">
      <c r="A98" s="1" t="s">
        <v>7</v>
      </c>
      <c r="B98" s="1" t="s">
        <v>8</v>
      </c>
      <c r="C98" s="1" t="s">
        <v>75</v>
      </c>
      <c r="D98" s="1">
        <v>64</v>
      </c>
      <c r="E98" s="1"/>
      <c r="F98" s="1" t="s">
        <v>11</v>
      </c>
      <c r="G98" s="1" t="str">
        <f>HYPERLINK("http://www.stromypodkontrolou.cz/map/?draw_selection_circle=1#%7B%22lat%22%3A%2049.6723794622623%2C%20%22lng%22%3A%2018.6725276122688%2C%20%22zoom%22%3A%2020%7D")</f>
        <v>http://www.stromypodkontrolou.cz/map/?draw_selection_circle=1#%7B%22lat%22%3A%2049.6723794622623%2C%20%22lng%22%3A%2018.6725276122688%2C%20%22zoom%22%3A%2020%7D</v>
      </c>
    </row>
    <row r="99" spans="1:7" ht="12.75">
      <c r="A99" s="1" t="s">
        <v>7</v>
      </c>
      <c r="B99" s="1" t="s">
        <v>8</v>
      </c>
      <c r="C99" s="1" t="s">
        <v>78</v>
      </c>
      <c r="D99" s="1">
        <v>7</v>
      </c>
      <c r="E99" s="1" t="s">
        <v>88</v>
      </c>
      <c r="F99" s="1" t="s">
        <v>11</v>
      </c>
      <c r="G99" s="1" t="str">
        <f>HYPERLINK("http://www.stromypodkontrolou.cz/map/?draw_selection_circle=1#%7B%22lat%22%3A%2049.6724341162258%2C%20%22lng%22%3A%2018.6722371278244%2C%20%22zoom%22%3A%2020%7D")</f>
        <v>http://www.stromypodkontrolou.cz/map/?draw_selection_circle=1#%7B%22lat%22%3A%2049.6724341162258%2C%20%22lng%22%3A%2018.6722371278244%2C%20%22zoom%22%3A%2020%7D</v>
      </c>
    </row>
    <row r="100" spans="1:7" ht="12.75">
      <c r="A100" s="1" t="s">
        <v>7</v>
      </c>
      <c r="B100" s="1" t="s">
        <v>8</v>
      </c>
      <c r="C100" s="1" t="s">
        <v>78</v>
      </c>
      <c r="D100" s="1">
        <v>16</v>
      </c>
      <c r="E100" s="1" t="s">
        <v>89</v>
      </c>
      <c r="F100" s="1" t="s">
        <v>15</v>
      </c>
      <c r="G100" s="1" t="str">
        <f>HYPERLINK("http://www.stromypodkontrolou.cz/map/?draw_selection_circle=1#%7B%22lat%22%3A%2049.6722420774881%2C%20%22lng%22%3A%2018.6723880852102%2C%20%22zoom%22%3A%2020%7D")</f>
        <v>http://www.stromypodkontrolou.cz/map/?draw_selection_circle=1#%7B%22lat%22%3A%2049.6722420774881%2C%20%22lng%22%3A%2018.6723880852102%2C%20%22zoom%22%3A%2020%7D</v>
      </c>
    </row>
    <row r="101" spans="1:7" ht="12.75">
      <c r="A101" s="1" t="s">
        <v>7</v>
      </c>
      <c r="B101" s="1" t="s">
        <v>8</v>
      </c>
      <c r="C101" s="1" t="s">
        <v>78</v>
      </c>
      <c r="D101" s="1">
        <v>54</v>
      </c>
      <c r="E101" s="1" t="s">
        <v>90</v>
      </c>
      <c r="F101" s="1" t="s">
        <v>91</v>
      </c>
      <c r="G101" s="1" t="str">
        <f>HYPERLINK("http://www.stromypodkontrolou.cz/map/?draw_selection_circle=1#%7B%22lat%22%3A%2049.6716940774809%2C%20%22lng%22%3A%2018.6730790852069%2C%20%22zoom%22%3A%2020%7D")</f>
        <v>http://www.stromypodkontrolou.cz/map/?draw_selection_circle=1#%7B%22lat%22%3A%2049.6716940774809%2C%20%22lng%22%3A%2018.6730790852069%2C%20%22zoom%22%3A%2020%7D</v>
      </c>
    </row>
    <row r="102" spans="1:7" ht="12.75">
      <c r="A102" s="1" t="s">
        <v>7</v>
      </c>
      <c r="B102" s="1" t="s">
        <v>8</v>
      </c>
      <c r="C102" s="1" t="s">
        <v>84</v>
      </c>
      <c r="D102" s="1">
        <v>151</v>
      </c>
      <c r="E102" s="1"/>
      <c r="F102" s="1" t="s">
        <v>70</v>
      </c>
      <c r="G102" s="1" t="str">
        <f>HYPERLINK("http://www.stromypodkontrolou.cz/map/?draw_selection_circle=1#%7B%22lat%22%3A%2049.6719513176%2C%20%22lng%22%3A%2018.6720676454%2C%20%22zoom%22%3A%2020%7D")</f>
        <v>http://www.stromypodkontrolou.cz/map/?draw_selection_circle=1#%7B%22lat%22%3A%2049.6719513176%2C%20%22lng%22%3A%2018.6720676454%2C%20%22zoom%22%3A%2020%7D</v>
      </c>
    </row>
    <row r="103" spans="1:7" ht="12.75">
      <c r="A103" s="1" t="s">
        <v>7</v>
      </c>
      <c r="B103" s="1" t="s">
        <v>8</v>
      </c>
      <c r="C103" s="1" t="s">
        <v>84</v>
      </c>
      <c r="D103" s="1">
        <v>157</v>
      </c>
      <c r="E103" s="1"/>
      <c r="F103" s="1" t="s">
        <v>27</v>
      </c>
      <c r="G103" s="1" t="str">
        <f>HYPERLINK("http://www.stromypodkontrolou.cz/map/?draw_selection_circle=1#%7B%22lat%22%3A%2049.6717623564952%2C%20%22lng%22%3A%2018.6723902757619%2C%20%22zoom%22%3A%2020%7D")</f>
        <v>http://www.stromypodkontrolou.cz/map/?draw_selection_circle=1#%7B%22lat%22%3A%2049.6717623564952%2C%20%22lng%22%3A%2018.6723902757619%2C%20%22zoom%22%3A%2020%7D</v>
      </c>
    </row>
    <row r="104" spans="1:7" ht="12.75">
      <c r="A104" s="1" t="s">
        <v>7</v>
      </c>
      <c r="B104" s="1" t="s">
        <v>8</v>
      </c>
      <c r="C104" s="1" t="s">
        <v>81</v>
      </c>
      <c r="D104" s="1">
        <v>478</v>
      </c>
      <c r="E104" s="1"/>
      <c r="F104" s="1" t="s">
        <v>30</v>
      </c>
      <c r="G104" s="1" t="str">
        <f>HYPERLINK("http://www.stromypodkontrolou.cz/map/?draw_selection_circle=1#%7B%22lat%22%3A%2049.6701451472%2C%20%22lng%22%3A%2018.6740271647%2C%20%22zoom%22%3A%2020%7D")</f>
        <v>http://www.stromypodkontrolou.cz/map/?draw_selection_circle=1#%7B%22lat%22%3A%2049.6701451472%2C%20%22lng%22%3A%2018.6740271647%2C%20%22zoom%22%3A%2020%7D</v>
      </c>
    </row>
    <row r="105" spans="1:7" ht="12.75">
      <c r="A105" s="1" t="s">
        <v>7</v>
      </c>
      <c r="B105" s="1" t="s">
        <v>8</v>
      </c>
      <c r="C105" s="1" t="s">
        <v>81</v>
      </c>
      <c r="D105" s="1">
        <v>480</v>
      </c>
      <c r="E105" s="1"/>
      <c r="F105" s="1" t="s">
        <v>30</v>
      </c>
      <c r="G105" s="1" t="str">
        <f>HYPERLINK("http://www.stromypodkontrolou.cz/map/?draw_selection_circle=1#%7B%22lat%22%3A%2049.6701226003876%2C%20%22lng%22%3A%2018.6739839789403%2C%20%22zoom%22%3A%2020%7D")</f>
        <v>http://www.stromypodkontrolou.cz/map/?draw_selection_circle=1#%7B%22lat%22%3A%2049.6701226003876%2C%20%22lng%22%3A%2018.6739839789403%2C%20%22zoom%22%3A%2020%7D</v>
      </c>
    </row>
    <row r="106" spans="1:7" ht="12.75">
      <c r="A106" s="1" t="s">
        <v>7</v>
      </c>
      <c r="B106" s="1" t="s">
        <v>8</v>
      </c>
      <c r="C106" s="1" t="s">
        <v>84</v>
      </c>
      <c r="D106" s="1">
        <v>4</v>
      </c>
      <c r="E106" s="1"/>
      <c r="F106" s="1" t="s">
        <v>92</v>
      </c>
      <c r="G106" s="1" t="str">
        <f>HYPERLINK("http://www.stromypodkontrolou.cz/map/?draw_selection_circle=1#%7B%22lat%22%3A%2049.6704348946%2C%20%22lng%22%3A%2018.6755684619%2C%20%22zoom%22%3A%2020%7D")</f>
        <v>http://www.stromypodkontrolou.cz/map/?draw_selection_circle=1#%7B%22lat%22%3A%2049.6704348946%2C%20%22lng%22%3A%2018.6755684619%2C%20%22zoom%22%3A%2020%7D</v>
      </c>
    </row>
    <row r="107" spans="1:7" ht="12.75">
      <c r="A107" s="1" t="s">
        <v>7</v>
      </c>
      <c r="B107" s="1" t="s">
        <v>8</v>
      </c>
      <c r="C107" s="1" t="s">
        <v>81</v>
      </c>
      <c r="D107" s="1">
        <v>446</v>
      </c>
      <c r="E107" s="1"/>
      <c r="F107" s="1" t="s">
        <v>93</v>
      </c>
      <c r="G107" s="1" t="str">
        <f>HYPERLINK("http://www.stromypodkontrolou.cz/map/?draw_selection_circle=1#%7B%22lat%22%3A%2049.6696113127%2C%20%22lng%22%3A%2018.673001232%2C%20%22zoom%22%3A%2020%7D")</f>
        <v>http://www.stromypodkontrolou.cz/map/?draw_selection_circle=1#%7B%22lat%22%3A%2049.6696113127%2C%20%22lng%22%3A%2018.673001232%2C%20%22zoom%22%3A%2020%7D</v>
      </c>
    </row>
    <row r="108" spans="1:7" ht="12.75">
      <c r="A108" s="1" t="s">
        <v>7</v>
      </c>
      <c r="B108" s="1" t="s">
        <v>8</v>
      </c>
      <c r="C108" s="1" t="s">
        <v>81</v>
      </c>
      <c r="D108" s="1">
        <v>539</v>
      </c>
      <c r="E108" s="1"/>
      <c r="F108" s="1" t="s">
        <v>94</v>
      </c>
      <c r="G108" s="1" t="str">
        <f>HYPERLINK("http://www.stromypodkontrolou.cz/map/?draw_selection_circle=1#%7B%22lat%22%3A%2049.669439304303%2C%20%22lng%22%3A%2018.6740876947255%2C%20%22zoom%22%3A%2020%7D")</f>
        <v>http://www.stromypodkontrolou.cz/map/?draw_selection_circle=1#%7B%22lat%22%3A%2049.669439304303%2C%20%22lng%22%3A%2018.6740876947255%2C%20%22zoom%22%3A%2020%7D</v>
      </c>
    </row>
    <row r="109" spans="1:7" ht="12.75">
      <c r="A109" s="1" t="s">
        <v>7</v>
      </c>
      <c r="B109" s="1" t="s">
        <v>8</v>
      </c>
      <c r="C109" s="1" t="s">
        <v>81</v>
      </c>
      <c r="D109" s="1">
        <v>28</v>
      </c>
      <c r="E109" s="1"/>
      <c r="F109" s="1" t="s">
        <v>21</v>
      </c>
      <c r="G109" s="1" t="str">
        <f>HYPERLINK("http://www.stromypodkontrolou.cz/map/?draw_selection_circle=1#%7B%22lat%22%3A%2049.6679596107912%2C%20%22lng%22%3A%2018.6735566061679%2C%20%22zoom%22%3A%2020%7D")</f>
        <v>http://www.stromypodkontrolou.cz/map/?draw_selection_circle=1#%7B%22lat%22%3A%2049.6679596107912%2C%20%22lng%22%3A%2018.6735566061679%2C%20%22zoom%22%3A%2020%7D</v>
      </c>
    </row>
    <row r="110" spans="1:7" ht="12.75">
      <c r="A110" s="1" t="s">
        <v>7</v>
      </c>
      <c r="B110" s="1" t="s">
        <v>8</v>
      </c>
      <c r="C110" s="1" t="s">
        <v>68</v>
      </c>
      <c r="D110" s="1">
        <v>109</v>
      </c>
      <c r="E110" s="1" t="s">
        <v>95</v>
      </c>
      <c r="F110" s="1" t="s">
        <v>23</v>
      </c>
      <c r="G110" s="1" t="str">
        <f>HYPERLINK("http://www.stromypodkontrolou.cz/map/?draw_selection_circle=1#%7B%22lat%22%3A%2049.6675098144808%2C%20%22lng%22%3A%2018.6797733286492%2C%20%22zoom%22%3A%2020%7D")</f>
        <v>http://www.stromypodkontrolou.cz/map/?draw_selection_circle=1#%7B%22lat%22%3A%2049.6675098144808%2C%20%22lng%22%3A%2018.6797733286492%2C%20%22zoom%22%3A%2020%7D</v>
      </c>
    </row>
    <row r="111" spans="1:7" ht="12.75">
      <c r="A111" s="1" t="s">
        <v>7</v>
      </c>
      <c r="B111" s="1" t="s">
        <v>8</v>
      </c>
      <c r="C111" s="1" t="s">
        <v>68</v>
      </c>
      <c r="D111" s="1">
        <v>108</v>
      </c>
      <c r="E111" s="1" t="s">
        <v>96</v>
      </c>
      <c r="F111" s="1" t="s">
        <v>23</v>
      </c>
      <c r="G111" s="1" t="str">
        <f>HYPERLINK("http://www.stromypodkontrolou.cz/map/?draw_selection_circle=1#%7B%22lat%22%3A%2049.6675362882538%2C%20%22lng%22%3A%2018.6797941157682%2C%20%22zoom%22%3A%2020%7D")</f>
        <v>http://www.stromypodkontrolou.cz/map/?draw_selection_circle=1#%7B%22lat%22%3A%2049.6675362882538%2C%20%22lng%22%3A%2018.6797941157682%2C%20%22zoom%22%3A%2020%7D</v>
      </c>
    </row>
    <row r="112" spans="1:7" ht="12.75">
      <c r="A112" s="1" t="s">
        <v>7</v>
      </c>
      <c r="B112" s="1" t="s">
        <v>8</v>
      </c>
      <c r="C112" s="1" t="s">
        <v>68</v>
      </c>
      <c r="D112" s="1">
        <v>98</v>
      </c>
      <c r="E112" s="1" t="s">
        <v>97</v>
      </c>
      <c r="F112" s="1" t="s">
        <v>23</v>
      </c>
      <c r="G112" s="1" t="str">
        <f>HYPERLINK("http://www.stromypodkontrolou.cz/map/?draw_selection_circle=1#%7B%22lat%22%3A%2049.6675857637729%2C%20%22lng%22%3A%2018.6799785176415%2C%20%22zoom%22%3A%2020%7D")</f>
        <v>http://www.stromypodkontrolou.cz/map/?draw_selection_circle=1#%7B%22lat%22%3A%2049.6675857637729%2C%20%22lng%22%3A%2018.6799785176415%2C%20%22zoom%22%3A%2020%7D</v>
      </c>
    </row>
    <row r="113" spans="1:7" ht="12.75">
      <c r="A113" s="1" t="s">
        <v>7</v>
      </c>
      <c r="B113" s="1" t="s">
        <v>8</v>
      </c>
      <c r="C113" s="1" t="s">
        <v>68</v>
      </c>
      <c r="D113" s="1">
        <v>121</v>
      </c>
      <c r="E113" s="1" t="s">
        <v>98</v>
      </c>
      <c r="F113" s="1" t="s">
        <v>23</v>
      </c>
      <c r="G113" s="1" t="str">
        <f>HYPERLINK("http://www.stromypodkontrolou.cz/map/?draw_selection_circle=1#%7B%22lat%22%3A%2049.6674714058019%2C%20%22lng%22%3A%2018.6799473369572%2C%20%22zoom%22%3A%2020%7D")</f>
        <v>http://www.stromypodkontrolou.cz/map/?draw_selection_circle=1#%7B%22lat%22%3A%2049.6674714058019%2C%20%22lng%22%3A%2018.6799473369572%2C%20%22zoom%22%3A%2020%7D</v>
      </c>
    </row>
    <row r="114" spans="1:7" ht="12.75">
      <c r="A114" s="1" t="s">
        <v>7</v>
      </c>
      <c r="B114" s="1" t="s">
        <v>8</v>
      </c>
      <c r="C114" s="1" t="s">
        <v>68</v>
      </c>
      <c r="D114" s="1">
        <v>119</v>
      </c>
      <c r="E114" s="1" t="s">
        <v>99</v>
      </c>
      <c r="F114" s="1" t="s">
        <v>23</v>
      </c>
      <c r="G114" s="1" t="str">
        <f>HYPERLINK("http://www.stromypodkontrolou.cz/map/?draw_selection_circle=1#%7B%22lat%22%3A%2049.6674813877169%2C%20%22lng%22%3A%2018.6799962872763%2C%20%22zoom%22%3A%2020%7D")</f>
        <v>http://www.stromypodkontrolou.cz/map/?draw_selection_circle=1#%7B%22lat%22%3A%2049.6674813877169%2C%20%22lng%22%3A%2018.6799962872763%2C%20%22zoom%22%3A%2020%7D</v>
      </c>
    </row>
    <row r="115" spans="1:7" ht="12.75">
      <c r="A115" s="1" t="s">
        <v>7</v>
      </c>
      <c r="B115" s="1" t="s">
        <v>8</v>
      </c>
      <c r="C115" s="1" t="s">
        <v>68</v>
      </c>
      <c r="D115" s="1">
        <v>118</v>
      </c>
      <c r="E115" s="1" t="s">
        <v>100</v>
      </c>
      <c r="F115" s="1" t="s">
        <v>23</v>
      </c>
      <c r="G115" s="1" t="str">
        <f>HYPERLINK("http://www.stromypodkontrolou.cz/map/?draw_selection_circle=1#%7B%22lat%22%3A%2049.6674959265976%2C%20%22lng%22%3A%2018.679976170704%2C%20%22zoom%22%3A%2020%7D")</f>
        <v>http://www.stromypodkontrolou.cz/map/?draw_selection_circle=1#%7B%22lat%22%3A%2049.6674959265976%2C%20%22lng%22%3A%2018.679976170704%2C%20%22zoom%22%3A%2020%7D</v>
      </c>
    </row>
    <row r="116" spans="1:7" ht="12.75">
      <c r="A116" s="1" t="s">
        <v>7</v>
      </c>
      <c r="B116" s="1" t="s">
        <v>8</v>
      </c>
      <c r="C116" s="1" t="s">
        <v>101</v>
      </c>
      <c r="D116" s="1">
        <v>111</v>
      </c>
      <c r="E116" s="1"/>
      <c r="F116" s="1" t="s">
        <v>72</v>
      </c>
      <c r="G116" s="1" t="str">
        <f>HYPERLINK("http://www.stromypodkontrolou.cz/map/?draw_selection_circle=1#%7B%22lat%22%3A%2049.6660246187%2C%20%22lng%22%3A%2018.6776867441%2C%20%22zoom%22%3A%2020%7D")</f>
        <v>http://www.stromypodkontrolou.cz/map/?draw_selection_circle=1#%7B%22lat%22%3A%2049.6660246187%2C%20%22lng%22%3A%2018.6776867441%2C%20%22zoom%22%3A%2020%7D</v>
      </c>
    </row>
    <row r="117" spans="1:7" ht="12.75">
      <c r="A117" s="1" t="s">
        <v>7</v>
      </c>
      <c r="B117" s="1" t="s">
        <v>8</v>
      </c>
      <c r="C117" s="1" t="s">
        <v>102</v>
      </c>
      <c r="D117" s="1">
        <v>31</v>
      </c>
      <c r="E117" s="1"/>
      <c r="F117" s="1" t="s">
        <v>21</v>
      </c>
      <c r="G117" s="1" t="str">
        <f>HYPERLINK("http://www.stromypodkontrolou.cz/map/?draw_selection_circle=1#%7B%22lat%22%3A%2049.6637139945825%2C%20%22lng%22%3A%2018.6798230123278%2C%20%22zoom%22%3A%2020%7D")</f>
        <v>http://www.stromypodkontrolou.cz/map/?draw_selection_circle=1#%7B%22lat%22%3A%2049.6637139945825%2C%20%22lng%22%3A%2018.6798230123278%2C%20%22zoom%22%3A%2020%7D</v>
      </c>
    </row>
    <row r="118" spans="1:7" ht="12.75">
      <c r="A118" s="1" t="s">
        <v>7</v>
      </c>
      <c r="B118" s="1" t="s">
        <v>8</v>
      </c>
      <c r="C118" s="1" t="s">
        <v>103</v>
      </c>
      <c r="D118" s="1">
        <v>9</v>
      </c>
      <c r="E118" s="1"/>
      <c r="F118" s="1" t="s">
        <v>104</v>
      </c>
      <c r="G118" s="1" t="str">
        <f>HYPERLINK("http://www.stromypodkontrolou.cz/map/?draw_selection_circle=1#%7B%22lat%22%3A%2049.6719348683319%2C%20%22lng%22%3A%2018.6430617609454%2C%20%22zoom%22%3A%2020%7D")</f>
        <v>http://www.stromypodkontrolou.cz/map/?draw_selection_circle=1#%7B%22lat%22%3A%2049.6719348683319%2C%20%22lng%22%3A%2018.6430617609454%2C%20%22zoom%22%3A%2020%7D</v>
      </c>
    </row>
    <row r="119" spans="1:7" ht="12.75">
      <c r="A119" s="1" t="s">
        <v>7</v>
      </c>
      <c r="B119" s="1" t="s">
        <v>8</v>
      </c>
      <c r="C119" s="1" t="s">
        <v>103</v>
      </c>
      <c r="D119" s="1">
        <v>20</v>
      </c>
      <c r="E119" s="1"/>
      <c r="F119" s="1" t="s">
        <v>105</v>
      </c>
      <c r="G119" s="1" t="str">
        <f>HYPERLINK("http://www.stromypodkontrolou.cz/map/?draw_selection_circle=1#%7B%22lat%22%3A%2049.6723199908739%2C%20%22lng%22%3A%2018.6427985159339%2C%20%22zoom%22%3A%2020%7D")</f>
        <v>http://www.stromypodkontrolou.cz/map/?draw_selection_circle=1#%7B%22lat%22%3A%2049.6723199908739%2C%20%22lng%22%3A%2018.6427985159339%2C%20%22zoom%22%3A%2020%7D</v>
      </c>
    </row>
    <row r="120" spans="1:7" ht="12.75">
      <c r="A120" s="1" t="s">
        <v>7</v>
      </c>
      <c r="B120" s="1" t="s">
        <v>8</v>
      </c>
      <c r="C120" s="1" t="s">
        <v>12</v>
      </c>
      <c r="D120" s="1">
        <v>520</v>
      </c>
      <c r="E120" s="1"/>
      <c r="F120" s="1" t="s">
        <v>106</v>
      </c>
      <c r="G120" s="1" t="str">
        <f>HYPERLINK("http://www.stromypodkontrolou.cz/map/?draw_selection_circle=1#%7B%22lat%22%3A%2049.6777792247616%2C%20%22lng%22%3A%2018.6862816826221%2C%20%22zoom%22%3A%2020%7D")</f>
        <v>http://www.stromypodkontrolou.cz/map/?draw_selection_circle=1#%7B%22lat%22%3A%2049.6777792247616%2C%20%22lng%22%3A%2018.6862816826221%2C%20%22zoom%22%3A%2020%7D</v>
      </c>
    </row>
    <row r="121" spans="1:7" ht="12.75">
      <c r="A121" s="1" t="s">
        <v>7</v>
      </c>
      <c r="B121" s="1" t="s">
        <v>8</v>
      </c>
      <c r="C121" s="1" t="s">
        <v>107</v>
      </c>
      <c r="D121" s="1">
        <v>18</v>
      </c>
      <c r="E121" s="1"/>
      <c r="F121" s="1" t="s">
        <v>41</v>
      </c>
      <c r="G121" s="1" t="str">
        <f>HYPERLINK("http://www.stromypodkontrolou.cz/map/?draw_selection_circle=1#%7B%22lat%22%3A%2049.6603740650147%2C%20%22lng%22%3A%2018.6720733380971%2C%20%22zoom%22%3A%2020%7D")</f>
        <v>http://www.stromypodkontrolou.cz/map/?draw_selection_circle=1#%7B%22lat%22%3A%2049.6603740650147%2C%20%22lng%22%3A%2018.6720733380971%2C%20%22zoom%22%3A%2020%7D</v>
      </c>
    </row>
    <row r="122" spans="1:7" ht="12.75">
      <c r="A122" s="1" t="s">
        <v>7</v>
      </c>
      <c r="B122" s="1" t="s">
        <v>8</v>
      </c>
      <c r="C122" s="1" t="s">
        <v>37</v>
      </c>
      <c r="D122" s="1">
        <v>61</v>
      </c>
      <c r="E122" s="1"/>
      <c r="F122" s="1" t="s">
        <v>44</v>
      </c>
      <c r="G122" s="1" t="str">
        <f>HYPERLINK("http://www.stromypodkontrolou.cz/map/?draw_selection_circle=1#%7B%22lat%22%3A%2049.6714688463802%2C%20%22lng%22%3A%2018.6790572587843%2C%20%22zoom%22%3A%2020%7D")</f>
        <v>http://www.stromypodkontrolou.cz/map/?draw_selection_circle=1#%7B%22lat%22%3A%2049.6714688463802%2C%20%22lng%22%3A%2018.6790572587843%2C%20%22zoom%22%3A%2020%7D</v>
      </c>
    </row>
    <row r="123" spans="1:7" ht="12.75">
      <c r="A123" s="1" t="s">
        <v>7</v>
      </c>
      <c r="B123" s="1" t="s">
        <v>8</v>
      </c>
      <c r="C123" s="1" t="s">
        <v>37</v>
      </c>
      <c r="D123" s="1">
        <v>88</v>
      </c>
      <c r="E123" s="1"/>
      <c r="F123" s="1" t="s">
        <v>94</v>
      </c>
      <c r="G123" s="1" t="str">
        <f>HYPERLINK("http://www.stromypodkontrolou.cz/map/?draw_selection_circle=1#%7B%22lat%22%3A%2049.671421463287%2C%20%22lng%22%3A%2018.6790481050313%2C%20%22zoom%22%3A%2020%7D")</f>
        <v>http://www.stromypodkontrolou.cz/map/?draw_selection_circle=1#%7B%22lat%22%3A%2049.671421463287%2C%20%22lng%22%3A%2018.6790481050313%2C%20%22zoom%22%3A%2020%7D</v>
      </c>
    </row>
    <row r="124" spans="1:7" ht="12.75">
      <c r="A124" s="1" t="s">
        <v>7</v>
      </c>
      <c r="B124" s="1" t="s">
        <v>8</v>
      </c>
      <c r="C124" s="1" t="s">
        <v>37</v>
      </c>
      <c r="D124" s="1">
        <v>89</v>
      </c>
      <c r="E124" s="1"/>
      <c r="F124" s="1" t="s">
        <v>94</v>
      </c>
      <c r="G124" s="1" t="str">
        <f>HYPERLINK("http://www.stromypodkontrolou.cz/map/?draw_selection_circle=1#%7B%22lat%22%3A%2049.6713908883735%2C%20%22lng%22%3A%2018.6789468729457%2C%20%22zoom%22%3A%2020%7D")</f>
        <v>http://www.stromypodkontrolou.cz/map/?draw_selection_circle=1#%7B%22lat%22%3A%2049.6713908883735%2C%20%22lng%22%3A%2018.6789468729457%2C%20%22zoom%22%3A%2020%7D</v>
      </c>
    </row>
    <row r="125" spans="1:7" ht="12.75">
      <c r="A125" s="1" t="s">
        <v>7</v>
      </c>
      <c r="B125" s="1" t="s">
        <v>8</v>
      </c>
      <c r="C125" s="1" t="s">
        <v>82</v>
      </c>
      <c r="D125" s="1">
        <v>84</v>
      </c>
      <c r="E125" s="1"/>
      <c r="F125" s="1" t="s">
        <v>108</v>
      </c>
      <c r="G125" s="1" t="str">
        <f>HYPERLINK("http://www.stromypodkontrolou.cz/map/?draw_selection_circle=1#%7B%22lat%22%3A%2049.6687903166808%2C%20%22lng%22%3A%2018.6776150367716%2C%20%22zoom%22%3A%2020%7D")</f>
        <v>http://www.stromypodkontrolou.cz/map/?draw_selection_circle=1#%7B%22lat%22%3A%2049.6687903166808%2C%20%22lng%22%3A%2018.6776150367716%2C%20%22zoom%22%3A%2020%7D</v>
      </c>
    </row>
    <row r="126" spans="1:7" ht="12.75">
      <c r="A126" s="1" t="s">
        <v>7</v>
      </c>
      <c r="B126" s="1" t="s">
        <v>8</v>
      </c>
      <c r="C126" s="1" t="s">
        <v>109</v>
      </c>
      <c r="D126" s="1">
        <v>32</v>
      </c>
      <c r="E126" s="1"/>
      <c r="F126" s="1" t="s">
        <v>44</v>
      </c>
      <c r="G126" s="1" t="str">
        <f>HYPERLINK("http://www.stromypodkontrolou.cz/map/?draw_selection_circle=1#%7B%22lat%22%3A%2049.6802452661%2C%20%22lng%22%3A%2018.6690181049%2C%20%22zoom%22%3A%2020%7D")</f>
        <v>http://www.stromypodkontrolou.cz/map/?draw_selection_circle=1#%7B%22lat%22%3A%2049.6802452661%2C%20%22lng%22%3A%2018.6690181049%2C%20%22zoom%22%3A%2020%7D</v>
      </c>
    </row>
    <row r="127" spans="1:7" ht="12.75">
      <c r="A127" s="1" t="s">
        <v>7</v>
      </c>
      <c r="B127" s="1" t="s">
        <v>8</v>
      </c>
      <c r="C127" s="1" t="s">
        <v>73</v>
      </c>
      <c r="D127" s="1">
        <v>49</v>
      </c>
      <c r="E127" s="1"/>
      <c r="F127" s="1" t="s">
        <v>72</v>
      </c>
      <c r="G127" s="1" t="str">
        <f>HYPERLINK("http://www.stromypodkontrolou.cz/map/?draw_selection_circle=1#%7B%22lat%22%3A%2049.6648740340561%2C%20%22lng%22%3A%2018.6771595817409%2C%20%22zoom%22%3A%2020%7D")</f>
        <v>http://www.stromypodkontrolou.cz/map/?draw_selection_circle=1#%7B%22lat%22%3A%2049.6648740340561%2C%20%22lng%22%3A%2018.6771595817409%2C%20%22zoom%22%3A%2020%7D</v>
      </c>
    </row>
    <row r="128" spans="1:7" ht="12.75">
      <c r="A128" s="1" t="s">
        <v>7</v>
      </c>
      <c r="B128" s="1" t="s">
        <v>8</v>
      </c>
      <c r="C128" s="1" t="s">
        <v>26</v>
      </c>
      <c r="D128" s="1">
        <v>152</v>
      </c>
      <c r="E128" s="1"/>
      <c r="F128" s="1" t="s">
        <v>21</v>
      </c>
      <c r="G128" s="1" t="str">
        <f>HYPERLINK("http://www.stromypodkontrolou.cz/map/?draw_selection_circle=1#%7B%22lat%22%3A%2049.6654586286654%2C%20%22lng%22%3A%2018.6758833029313%2C%20%22zoom%22%3A%2020%7D")</f>
        <v>http://www.stromypodkontrolou.cz/map/?draw_selection_circle=1#%7B%22lat%22%3A%2049.6654586286654%2C%20%22lng%22%3A%2018.6758833029313%2C%20%22zoom%22%3A%2020%7D</v>
      </c>
    </row>
    <row r="129" spans="1:7" ht="12.75">
      <c r="A129" s="1" t="s">
        <v>7</v>
      </c>
      <c r="B129" s="1" t="s">
        <v>8</v>
      </c>
      <c r="C129" s="1" t="s">
        <v>26</v>
      </c>
      <c r="D129" s="1">
        <v>247</v>
      </c>
      <c r="E129" s="1"/>
      <c r="F129" s="1" t="s">
        <v>72</v>
      </c>
      <c r="G129" s="1" t="str">
        <f>HYPERLINK("http://www.stromypodkontrolou.cz/map/?draw_selection_circle=1#%7B%22lat%22%3A%2049.6644409999%2C%20%22lng%22%3A%2018.6737109919%2C%20%22zoom%22%3A%2020%7D")</f>
        <v>http://www.stromypodkontrolou.cz/map/?draw_selection_circle=1#%7B%22lat%22%3A%2049.6644409999%2C%20%22lng%22%3A%2018.6737109919%2C%20%22zoom%22%3A%2020%7D</v>
      </c>
    </row>
    <row r="130" spans="1:7" ht="12.75">
      <c r="A130" s="1" t="s">
        <v>7</v>
      </c>
      <c r="B130" s="1" t="s">
        <v>8</v>
      </c>
      <c r="C130" s="1" t="s">
        <v>26</v>
      </c>
      <c r="D130" s="1">
        <v>328</v>
      </c>
      <c r="E130" s="1"/>
      <c r="F130" s="1" t="s">
        <v>41</v>
      </c>
      <c r="G130" s="1" t="str">
        <f>HYPERLINK("http://www.stromypodkontrolou.cz/map/?draw_selection_circle=1#%7B%22lat%22%3A%2049.6643805813384%2C%20%22lng%22%3A%2018.6743482042745%2C%20%22zoom%22%3A%2020%7D")</f>
        <v>http://www.stromypodkontrolou.cz/map/?draw_selection_circle=1#%7B%22lat%22%3A%2049.6643805813384%2C%20%22lng%22%3A%2018.6743482042745%2C%20%22zoom%22%3A%2020%7D</v>
      </c>
    </row>
    <row r="131" spans="1:7" ht="12.75">
      <c r="A131" s="1" t="s">
        <v>7</v>
      </c>
      <c r="B131" s="1" t="s">
        <v>8</v>
      </c>
      <c r="C131" s="1" t="s">
        <v>26</v>
      </c>
      <c r="D131" s="1">
        <v>327</v>
      </c>
      <c r="E131" s="1"/>
      <c r="F131" s="1" t="s">
        <v>41</v>
      </c>
      <c r="G131" s="1" t="str">
        <f>HYPERLINK("http://www.stromypodkontrolou.cz/map/?draw_selection_circle=1#%7B%22lat%22%3A%2049.6643473784736%2C%20%22lng%22%3A%2018.6743300993658%2C%20%22zoom%22%3A%2020%7D")</f>
        <v>http://www.stromypodkontrolou.cz/map/?draw_selection_circle=1#%7B%22lat%22%3A%2049.6643473784736%2C%20%22lng%22%3A%2018.6743300993658%2C%20%22zoom%22%3A%2020%7D</v>
      </c>
    </row>
    <row r="132" spans="1:7" ht="12.75">
      <c r="A132" s="1" t="s">
        <v>7</v>
      </c>
      <c r="B132" s="1" t="s">
        <v>8</v>
      </c>
      <c r="C132" s="1" t="s">
        <v>110</v>
      </c>
      <c r="D132" s="1">
        <v>1</v>
      </c>
      <c r="E132" s="1"/>
      <c r="F132" s="1" t="s">
        <v>21</v>
      </c>
      <c r="G132" s="1" t="str">
        <f>HYPERLINK("http://www.stromypodkontrolou.cz/map/?draw_selection_circle=1#%7B%22lat%22%3A%2049.6773203197017%2C%20%22lng%22%3A%2018.6734082135502%2C%20%22zoom%22%3A%2020%7D")</f>
        <v>http://www.stromypodkontrolou.cz/map/?draw_selection_circle=1#%7B%22lat%22%3A%2049.6773203197017%2C%20%22lng%22%3A%2018.6734082135502%2C%20%22zoom%22%3A%2020%7D</v>
      </c>
    </row>
    <row r="133" spans="1:7" ht="12.75">
      <c r="A133" s="1" t="s">
        <v>7</v>
      </c>
      <c r="B133" s="1" t="s">
        <v>8</v>
      </c>
      <c r="C133" s="1" t="s">
        <v>12</v>
      </c>
      <c r="D133" s="1">
        <v>214</v>
      </c>
      <c r="E133" s="1"/>
      <c r="F133" s="1" t="s">
        <v>106</v>
      </c>
      <c r="G133" s="1" t="str">
        <f>HYPERLINK("http://www.stromypodkontrolou.cz/map/?draw_selection_circle=1#%7B%22lat%22%3A%2049.6794382367377%2C%20%22lng%22%3A%2018.6822100973591%2C%20%22zoom%22%3A%2020%7D")</f>
        <v>http://www.stromypodkontrolou.cz/map/?draw_selection_circle=1#%7B%22lat%22%3A%2049.6794382367377%2C%20%22lng%22%3A%2018.6822100973591%2C%20%22zoom%22%3A%2020%7D</v>
      </c>
    </row>
    <row r="134" spans="1:7" ht="12.75">
      <c r="A134" s="1" t="s">
        <v>7</v>
      </c>
      <c r="B134" s="1" t="s">
        <v>8</v>
      </c>
      <c r="C134" s="1" t="s">
        <v>12</v>
      </c>
      <c r="D134" s="1">
        <v>350</v>
      </c>
      <c r="E134" s="1"/>
      <c r="F134" s="1" t="s">
        <v>30</v>
      </c>
      <c r="G134" s="1" t="str">
        <f>HYPERLINK("http://www.stromypodkontrolou.cz/map/?draw_selection_circle=1#%7B%22lat%22%3A%2049.6787183744%2C%20%22lng%22%3A%2018.6847170445%2C%20%22zoom%22%3A%2020%7D")</f>
        <v>http://www.stromypodkontrolou.cz/map/?draw_selection_circle=1#%7B%22lat%22%3A%2049.6787183744%2C%20%22lng%22%3A%2018.6847170445%2C%20%22zoom%22%3A%2020%7D</v>
      </c>
    </row>
    <row r="135" spans="1:7" ht="12.75">
      <c r="A135" s="1" t="s">
        <v>7</v>
      </c>
      <c r="B135" s="1" t="s">
        <v>8</v>
      </c>
      <c r="C135" s="1" t="s">
        <v>12</v>
      </c>
      <c r="D135" s="1">
        <v>353</v>
      </c>
      <c r="E135" s="1"/>
      <c r="F135" s="1" t="s">
        <v>72</v>
      </c>
      <c r="G135" s="1" t="str">
        <f>HYPERLINK("http://www.stromypodkontrolou.cz/map/?draw_selection_circle=1#%7B%22lat%22%3A%2049.6786105362383%2C%20%22lng%22%3A%2018.6851748724103%2C%20%22zoom%22%3A%2020%7D")</f>
        <v>http://www.stromypodkontrolou.cz/map/?draw_selection_circle=1#%7B%22lat%22%3A%2049.6786105362383%2C%20%22lng%22%3A%2018.6851748724103%2C%20%22zoom%22%3A%2020%7D</v>
      </c>
    </row>
    <row r="136" spans="1:7" ht="12.75">
      <c r="A136" s="1" t="s">
        <v>7</v>
      </c>
      <c r="B136" s="1" t="s">
        <v>8</v>
      </c>
      <c r="C136" s="1" t="s">
        <v>12</v>
      </c>
      <c r="D136" s="1">
        <v>417</v>
      </c>
      <c r="E136" s="1"/>
      <c r="F136" s="1" t="s">
        <v>24</v>
      </c>
      <c r="G136" s="1" t="str">
        <f>HYPERLINK("http://www.stromypodkontrolou.cz/map/?draw_selection_circle=1#%7B%22lat%22%3A%2049.6773936882439%2C%20%22lng%22%3A%2018.6879937759761%2C%20%22zoom%22%3A%2020%7D")</f>
        <v>http://www.stromypodkontrolou.cz/map/?draw_selection_circle=1#%7B%22lat%22%3A%2049.6773936882439%2C%20%22lng%22%3A%2018.6879937759761%2C%20%22zoom%22%3A%2020%7D</v>
      </c>
    </row>
    <row r="137" spans="1:7" ht="12.75">
      <c r="A137" s="1" t="s">
        <v>7</v>
      </c>
      <c r="B137" s="1" t="s">
        <v>8</v>
      </c>
      <c r="C137" s="1" t="s">
        <v>12</v>
      </c>
      <c r="D137" s="1">
        <v>435</v>
      </c>
      <c r="E137" s="1"/>
      <c r="F137" s="1" t="s">
        <v>14</v>
      </c>
      <c r="G137" s="1" t="str">
        <f>HYPERLINK("http://www.stromypodkontrolou.cz/map/?draw_selection_circle=1#%7B%22lat%22%3A%2049.6776493996568%2C%20%22lng%22%3A%2018.6879186325051%2C%20%22zoom%22%3A%2020%7D")</f>
        <v>http://www.stromypodkontrolou.cz/map/?draw_selection_circle=1#%7B%22lat%22%3A%2049.6776493996568%2C%20%22lng%22%3A%2018.6879186325051%2C%20%22zoom%22%3A%2020%7D</v>
      </c>
    </row>
    <row r="138" spans="1:7" ht="12.75">
      <c r="A138" s="1" t="s">
        <v>7</v>
      </c>
      <c r="B138" s="1" t="s">
        <v>8</v>
      </c>
      <c r="C138" s="1" t="s">
        <v>12</v>
      </c>
      <c r="D138" s="1">
        <v>436</v>
      </c>
      <c r="E138" s="1"/>
      <c r="F138" s="1" t="s">
        <v>15</v>
      </c>
      <c r="G138" s="1" t="str">
        <f>HYPERLINK("http://www.stromypodkontrolou.cz/map/?draw_selection_circle=1#%7B%22lat%22%3A%2049.6776595617857%2C%20%22lng%22%3A%2018.6879302575119%2C%20%22zoom%22%3A%2020%7D")</f>
        <v>http://www.stromypodkontrolou.cz/map/?draw_selection_circle=1#%7B%22lat%22%3A%2049.6776595617857%2C%20%22lng%22%3A%2018.6879302575119%2C%20%22zoom%22%3A%2020%7D</v>
      </c>
    </row>
    <row r="139" spans="1:7" ht="12.75">
      <c r="A139" s="1" t="s">
        <v>7</v>
      </c>
      <c r="B139" s="1" t="s">
        <v>8</v>
      </c>
      <c r="C139" s="1" t="s">
        <v>12</v>
      </c>
      <c r="D139" s="1">
        <v>432</v>
      </c>
      <c r="E139" s="1"/>
      <c r="F139" s="1" t="s">
        <v>41</v>
      </c>
      <c r="G139" s="1" t="str">
        <f>HYPERLINK("http://www.stromypodkontrolou.cz/map/?draw_selection_circle=1#%7B%22lat%22%3A%2049.6776608567311%2C%20%22lng%22%3A%2018.687977954003%2C%20%22zoom%22%3A%2020%7D")</f>
        <v>http://www.stromypodkontrolou.cz/map/?draw_selection_circle=1#%7B%22lat%22%3A%2049.6776608567311%2C%20%22lng%22%3A%2018.687977954003%2C%20%22zoom%22%3A%2020%7D</v>
      </c>
    </row>
    <row r="140" spans="1:7" ht="12.75">
      <c r="A140" s="1" t="s">
        <v>7</v>
      </c>
      <c r="B140" s="1" t="s">
        <v>8</v>
      </c>
      <c r="C140" s="1" t="s">
        <v>12</v>
      </c>
      <c r="D140" s="1">
        <v>478</v>
      </c>
      <c r="E140" s="1"/>
      <c r="F140" s="1" t="s">
        <v>24</v>
      </c>
      <c r="G140" s="1" t="str">
        <f>HYPERLINK("http://www.stromypodkontrolou.cz/map/?draw_selection_circle=1#%7B%22lat%22%3A%2049.6781577592%2C%20%22lng%22%3A%2018.6874210061%2C%20%22zoom%22%3A%2020%7D")</f>
        <v>http://www.stromypodkontrolou.cz/map/?draw_selection_circle=1#%7B%22lat%22%3A%2049.6781577592%2C%20%22lng%22%3A%2018.6874210061%2C%20%22zoom%22%3A%2020%7D</v>
      </c>
    </row>
    <row r="141" spans="1:7" ht="12.75">
      <c r="A141" s="1" t="s">
        <v>7</v>
      </c>
      <c r="B141" s="1" t="s">
        <v>8</v>
      </c>
      <c r="C141" s="1" t="s">
        <v>43</v>
      </c>
      <c r="D141" s="1">
        <v>58</v>
      </c>
      <c r="E141" s="1"/>
      <c r="F141" s="1" t="s">
        <v>111</v>
      </c>
      <c r="G141" s="1" t="str">
        <f>HYPERLINK("http://www.stromypodkontrolou.cz/map/?draw_selection_circle=1#%7B%22lat%22%3A%2049.6755773606729%2C%20%22lng%22%3A%2018.6696820714346%2C%20%22zoom%22%3A%2020%7D")</f>
        <v>http://www.stromypodkontrolou.cz/map/?draw_selection_circle=1#%7B%22lat%22%3A%2049.6755773606729%2C%20%22lng%22%3A%2018.6696820714346%2C%20%22zoom%22%3A%2020%7D</v>
      </c>
    </row>
    <row r="142" spans="1:7" ht="12.75">
      <c r="A142" s="1" t="s">
        <v>7</v>
      </c>
      <c r="B142" s="1" t="s">
        <v>8</v>
      </c>
      <c r="C142" s="1" t="s">
        <v>43</v>
      </c>
      <c r="D142" s="1">
        <v>122</v>
      </c>
      <c r="E142" s="1"/>
      <c r="F142" s="1" t="s">
        <v>27</v>
      </c>
      <c r="G142" s="1" t="str">
        <f>HYPERLINK("http://www.stromypodkontrolou.cz/map/?draw_selection_circle=1#%7B%22lat%22%3A%2049.6754860422048%2C%20%22lng%22%3A%2018.6689499379246%2C%20%22zoom%22%3A%2020%7D")</f>
        <v>http://www.stromypodkontrolou.cz/map/?draw_selection_circle=1#%7B%22lat%22%3A%2049.6754860422048%2C%20%22lng%22%3A%2018.6689499379246%2C%20%22zoom%22%3A%2020%7D</v>
      </c>
    </row>
    <row r="143" spans="1:7" ht="12.75">
      <c r="A143" s="1" t="s">
        <v>7</v>
      </c>
      <c r="B143" s="1" t="s">
        <v>8</v>
      </c>
      <c r="C143" s="1" t="s">
        <v>43</v>
      </c>
      <c r="D143" s="1">
        <v>82</v>
      </c>
      <c r="E143" s="1"/>
      <c r="F143" s="1" t="s">
        <v>24</v>
      </c>
      <c r="G143" s="1" t="str">
        <f>HYPERLINK("http://www.stromypodkontrolou.cz/map/?draw_selection_circle=1#%7B%22lat%22%3A%2049.675222652%2C%20%22lng%22%3A%2018.6690536754%2C%20%22zoom%22%3A%2020%7D")</f>
        <v>http://www.stromypodkontrolou.cz/map/?draw_selection_circle=1#%7B%22lat%22%3A%2049.675222652%2C%20%22lng%22%3A%2018.6690536754%2C%20%22zoom%22%3A%2020%7D</v>
      </c>
    </row>
    <row r="144" spans="1:7" ht="12.75">
      <c r="A144" s="1" t="s">
        <v>7</v>
      </c>
      <c r="B144" s="1" t="s">
        <v>8</v>
      </c>
      <c r="C144" s="1" t="s">
        <v>43</v>
      </c>
      <c r="D144" s="1">
        <v>89</v>
      </c>
      <c r="E144" s="1"/>
      <c r="F144" s="1" t="s">
        <v>46</v>
      </c>
      <c r="G144" s="1" t="str">
        <f>HYPERLINK("http://www.stromypodkontrolou.cz/map/?draw_selection_circle=1#%7B%22lat%22%3A%2049.6751119713%2C%20%22lng%22%3A%2018.6694504357%2C%20%22zoom%22%3A%2020%7D")</f>
        <v>http://www.stromypodkontrolou.cz/map/?draw_selection_circle=1#%7B%22lat%22%3A%2049.6751119713%2C%20%22lng%22%3A%2018.6694504357%2C%20%22zoom%22%3A%2020%7D</v>
      </c>
    </row>
    <row r="145" spans="1:7" ht="12.75">
      <c r="A145" s="1" t="s">
        <v>7</v>
      </c>
      <c r="B145" s="1" t="s">
        <v>8</v>
      </c>
      <c r="C145" s="1" t="s">
        <v>56</v>
      </c>
      <c r="D145" s="1">
        <v>161</v>
      </c>
      <c r="E145" s="1"/>
      <c r="F145" s="1" t="s">
        <v>23</v>
      </c>
      <c r="G145" s="1" t="str">
        <f>HYPERLINK("http://www.stromypodkontrolou.cz/map/?draw_selection_circle=1#%7B%22lat%22%3A%2049.6727288948574%2C%20%22lng%22%3A%2018.6694482815676%2C%20%22zoom%22%3A%2020%7D")</f>
        <v>http://www.stromypodkontrolou.cz/map/?draw_selection_circle=1#%7B%22lat%22%3A%2049.6727288948574%2C%20%22lng%22%3A%2018.6694482815676%2C%20%22zoom%22%3A%2020%7D</v>
      </c>
    </row>
    <row r="146" spans="1:7" ht="12.75">
      <c r="A146" s="1" t="s">
        <v>7</v>
      </c>
      <c r="B146" s="1" t="s">
        <v>8</v>
      </c>
      <c r="C146" s="1" t="s">
        <v>56</v>
      </c>
      <c r="D146" s="1">
        <v>158</v>
      </c>
      <c r="E146" s="1"/>
      <c r="F146" s="1" t="s">
        <v>23</v>
      </c>
      <c r="G146" s="1" t="str">
        <f>HYPERLINK("http://www.stromypodkontrolou.cz/map/?draw_selection_circle=1#%7B%22lat%22%3A%2049.6727723650927%2C%20%22lng%22%3A%2018.6695257006542%2C%20%22zoom%22%3A%2020%7D")</f>
        <v>http://www.stromypodkontrolou.cz/map/?draw_selection_circle=1#%7B%22lat%22%3A%2049.6727723650927%2C%20%22lng%22%3A%2018.6695257006542%2C%20%22zoom%22%3A%2020%7D</v>
      </c>
    </row>
    <row r="147" spans="1:7" ht="12.75">
      <c r="A147" s="1" t="s">
        <v>7</v>
      </c>
      <c r="B147" s="1" t="s">
        <v>8</v>
      </c>
      <c r="C147" s="1" t="s">
        <v>56</v>
      </c>
      <c r="D147" s="1">
        <v>247</v>
      </c>
      <c r="E147" s="1"/>
      <c r="F147" s="1" t="s">
        <v>65</v>
      </c>
      <c r="G147" s="1" t="str">
        <f>HYPERLINK("http://www.stromypodkontrolou.cz/map/?draw_selection_circle=1#%7B%22lat%22%3A%2049.672823582%2C%20%22lng%22%3A%2018.6695333144%2C%20%22zoom%22%3A%2020%7D")</f>
        <v>http://www.stromypodkontrolou.cz/map/?draw_selection_circle=1#%7B%22lat%22%3A%2049.672823582%2C%20%22lng%22%3A%2018.6695333144%2C%20%22zoom%22%3A%2020%7D</v>
      </c>
    </row>
    <row r="148" spans="1:7" ht="12.75">
      <c r="A148" s="1" t="s">
        <v>7</v>
      </c>
      <c r="B148" s="1" t="s">
        <v>8</v>
      </c>
      <c r="C148" s="1" t="s">
        <v>56</v>
      </c>
      <c r="D148" s="1">
        <v>146</v>
      </c>
      <c r="E148" s="1"/>
      <c r="F148" s="1" t="s">
        <v>70</v>
      </c>
      <c r="G148" s="1" t="str">
        <f>HYPERLINK("http://www.stromypodkontrolou.cz/map/?draw_selection_circle=1#%7B%22lat%22%3A%2049.6728502378%2C%20%22lng%22%3A%2018.6693845584%2C%20%22zoom%22%3A%2020%7D")</f>
        <v>http://www.stromypodkontrolou.cz/map/?draw_selection_circle=1#%7B%22lat%22%3A%2049.6728502378%2C%20%22lng%22%3A%2018.6693845584%2C%20%22zoom%22%3A%2020%7D</v>
      </c>
    </row>
    <row r="149" spans="1:7" ht="12.75">
      <c r="A149" s="1" t="s">
        <v>7</v>
      </c>
      <c r="B149" s="1" t="s">
        <v>8</v>
      </c>
      <c r="C149" s="1" t="s">
        <v>56</v>
      </c>
      <c r="D149" s="1">
        <v>133</v>
      </c>
      <c r="E149" s="1"/>
      <c r="F149" s="1" t="s">
        <v>11</v>
      </c>
      <c r="G149" s="1" t="str">
        <f>HYPERLINK("http://www.stromypodkontrolou.cz/map/?draw_selection_circle=1#%7B%22lat%22%3A%2049.6731847842638%2C%20%22lng%22%3A%2018.6694430432585%2C%20%22zoom%22%3A%2020%7D")</f>
        <v>http://www.stromypodkontrolou.cz/map/?draw_selection_circle=1#%7B%22lat%22%3A%2049.6731847842638%2C%20%22lng%22%3A%2018.6694430432585%2C%20%22zoom%22%3A%2020%7D</v>
      </c>
    </row>
    <row r="150" spans="1:7" ht="12.75">
      <c r="A150" s="1" t="s">
        <v>7</v>
      </c>
      <c r="B150" s="1" t="s">
        <v>8</v>
      </c>
      <c r="C150" s="1" t="s">
        <v>56</v>
      </c>
      <c r="D150" s="1">
        <v>127</v>
      </c>
      <c r="E150" s="1"/>
      <c r="F150" s="1" t="s">
        <v>10</v>
      </c>
      <c r="G150" s="1" t="str">
        <f>HYPERLINK("http://www.stromypodkontrolou.cz/map/?draw_selection_circle=1#%7B%22lat%22%3A%2049.6732544669222%2C%20%22lng%22%3A%2018.6693796539627%2C%20%22zoom%22%3A%2020%7D")</f>
        <v>http://www.stromypodkontrolou.cz/map/?draw_selection_circle=1#%7B%22lat%22%3A%2049.6732544669222%2C%20%22lng%22%3A%2018.6693796539627%2C%20%22zoom%22%3A%2020%7D</v>
      </c>
    </row>
    <row r="151" spans="1:7" ht="12.75">
      <c r="A151" s="1" t="s">
        <v>7</v>
      </c>
      <c r="B151" s="1" t="s">
        <v>8</v>
      </c>
      <c r="C151" s="1" t="s">
        <v>56</v>
      </c>
      <c r="D151" s="1">
        <v>123</v>
      </c>
      <c r="E151" s="1"/>
      <c r="F151" s="1" t="s">
        <v>23</v>
      </c>
      <c r="G151" s="1" t="str">
        <f>HYPERLINK("http://www.stromypodkontrolou.cz/map/?draw_selection_circle=1#%7B%22lat%22%3A%2049.6732712926229%2C%20%22lng%22%3A%2018.6694272565585%2C%20%22zoom%22%3A%2020%7D")</f>
        <v>http://www.stromypodkontrolou.cz/map/?draw_selection_circle=1#%7B%22lat%22%3A%2049.6732712926229%2C%20%22lng%22%3A%2018.6694272565585%2C%20%22zoom%22%3A%2020%7D</v>
      </c>
    </row>
    <row r="152" spans="1:7" ht="12.75">
      <c r="A152" s="1" t="s">
        <v>7</v>
      </c>
      <c r="B152" s="1" t="s">
        <v>8</v>
      </c>
      <c r="C152" s="1" t="s">
        <v>56</v>
      </c>
      <c r="D152" s="1">
        <v>101</v>
      </c>
      <c r="E152" s="1"/>
      <c r="F152" s="1" t="s">
        <v>57</v>
      </c>
      <c r="G152" s="1" t="str">
        <f>HYPERLINK("http://www.stromypodkontrolou.cz/map/?draw_selection_circle=1#%7B%22lat%22%3A%2049.673608179738%2C%20%22lng%22%3A%2018.6693311782204%2C%20%22zoom%22%3A%2020%7D")</f>
        <v>http://www.stromypodkontrolou.cz/map/?draw_selection_circle=1#%7B%22lat%22%3A%2049.673608179738%2C%20%22lng%22%3A%2018.6693311782204%2C%20%22zoom%22%3A%2020%7D</v>
      </c>
    </row>
    <row r="153" spans="1:7" ht="12.75">
      <c r="A153" s="1" t="s">
        <v>7</v>
      </c>
      <c r="B153" s="1" t="s">
        <v>8</v>
      </c>
      <c r="C153" s="1" t="s">
        <v>56</v>
      </c>
      <c r="D153" s="1">
        <v>94</v>
      </c>
      <c r="E153" s="1"/>
      <c r="F153" s="1" t="s">
        <v>11</v>
      </c>
      <c r="G153" s="1" t="str">
        <f>HYPERLINK("http://www.stromypodkontrolou.cz/map/?draw_selection_circle=1#%7B%22lat%22%3A%2049.6737062215063%2C%20%22lng%22%3A%2018.6693210484809%2C%20%22zoom%22%3A%2020%7D")</f>
        <v>http://www.stromypodkontrolou.cz/map/?draw_selection_circle=1#%7B%22lat%22%3A%2049.6737062215063%2C%20%22lng%22%3A%2018.6693210484809%2C%20%22zoom%22%3A%2020%7D</v>
      </c>
    </row>
    <row r="154" spans="1:7" ht="12.75">
      <c r="A154" s="1" t="s">
        <v>7</v>
      </c>
      <c r="B154" s="1" t="s">
        <v>8</v>
      </c>
      <c r="C154" s="1" t="s">
        <v>56</v>
      </c>
      <c r="D154" s="1">
        <v>88</v>
      </c>
      <c r="E154" s="1"/>
      <c r="F154" s="1" t="s">
        <v>15</v>
      </c>
      <c r="G154" s="1" t="str">
        <f>HYPERLINK("http://www.stromypodkontrolou.cz/map/?draw_selection_circle=1#%7B%22lat%22%3A%2049.6738673105%2C%20%22lng%22%3A%2018.6693414673%2C%20%22zoom%22%3A%2020%7D")</f>
        <v>http://www.stromypodkontrolou.cz/map/?draw_selection_circle=1#%7B%22lat%22%3A%2049.6738673105%2C%20%22lng%22%3A%2018.6693414673%2C%20%22zoom%22%3A%2020%7D</v>
      </c>
    </row>
    <row r="155" spans="1:7" ht="12.75">
      <c r="A155" s="1" t="s">
        <v>7</v>
      </c>
      <c r="B155" s="1" t="s">
        <v>8</v>
      </c>
      <c r="C155" s="1" t="s">
        <v>56</v>
      </c>
      <c r="D155" s="1">
        <v>84</v>
      </c>
      <c r="E155" s="1"/>
      <c r="F155" s="1" t="s">
        <v>10</v>
      </c>
      <c r="G155" s="1" t="str">
        <f>HYPERLINK("http://www.stromypodkontrolou.cz/map/?draw_selection_circle=1#%7B%22lat%22%3A%2049.6739335378%2C%20%22lng%22%3A%2018.6693516397%2C%20%22zoom%22%3A%2020%7D")</f>
        <v>http://www.stromypodkontrolou.cz/map/?draw_selection_circle=1#%7B%22lat%22%3A%2049.6739335378%2C%20%22lng%22%3A%2018.6693516397%2C%20%22zoom%22%3A%2020%7D</v>
      </c>
    </row>
    <row r="156" spans="1:7" ht="12.75">
      <c r="A156" s="1" t="s">
        <v>7</v>
      </c>
      <c r="B156" s="1" t="s">
        <v>8</v>
      </c>
      <c r="C156" s="1" t="s">
        <v>56</v>
      </c>
      <c r="D156" s="1">
        <v>79</v>
      </c>
      <c r="E156" s="1"/>
      <c r="F156" s="1" t="s">
        <v>11</v>
      </c>
      <c r="G156" s="1" t="str">
        <f>HYPERLINK("http://www.stromypodkontrolou.cz/map/?draw_selection_circle=1#%7B%22lat%22%3A%2049.6739719532607%2C%20%22lng%22%3A%2018.6693321633646%2C%20%22zoom%22%3A%2020%7D")</f>
        <v>http://www.stromypodkontrolou.cz/map/?draw_selection_circle=1#%7B%22lat%22%3A%2049.6739719532607%2C%20%22lng%22%3A%2018.6693321633646%2C%20%22zoom%22%3A%2020%7D</v>
      </c>
    </row>
    <row r="157" spans="1:7" ht="12.75">
      <c r="A157" s="1" t="s">
        <v>7</v>
      </c>
      <c r="B157" s="1" t="s">
        <v>8</v>
      </c>
      <c r="C157" s="1" t="s">
        <v>56</v>
      </c>
      <c r="D157" s="1">
        <v>74</v>
      </c>
      <c r="E157" s="1"/>
      <c r="F157" s="1" t="s">
        <v>23</v>
      </c>
      <c r="G157" s="1" t="str">
        <f>HYPERLINK("http://www.stromypodkontrolou.cz/map/?draw_selection_circle=1#%7B%22lat%22%3A%2049.6740526329241%2C%20%22lng%22%3A%2018.6693902341851%2C%20%22zoom%22%3A%2020%7D")</f>
        <v>http://www.stromypodkontrolou.cz/map/?draw_selection_circle=1#%7B%22lat%22%3A%2049.6740526329241%2C%20%22lng%22%3A%2018.6693902341851%2C%20%22zoom%22%3A%2020%7D</v>
      </c>
    </row>
    <row r="158" spans="1:7" ht="12.75">
      <c r="A158" s="1" t="s">
        <v>7</v>
      </c>
      <c r="B158" s="1" t="s">
        <v>8</v>
      </c>
      <c r="C158" s="1" t="s">
        <v>56</v>
      </c>
      <c r="D158" s="1">
        <v>60</v>
      </c>
      <c r="E158" s="1"/>
      <c r="F158" s="1" t="s">
        <v>11</v>
      </c>
      <c r="G158" s="1" t="str">
        <f>HYPERLINK("http://www.stromypodkontrolou.cz/map/?draw_selection_circle=1#%7B%22lat%22%3A%2049.6739723784627%2C%20%22lng%22%3A%2018.6695456147303%2C%20%22zoom%22%3A%2020%7D")</f>
        <v>http://www.stromypodkontrolou.cz/map/?draw_selection_circle=1#%7B%22lat%22%3A%2049.6739723784627%2C%20%22lng%22%3A%2018.6695456147303%2C%20%22zoom%22%3A%2020%7D</v>
      </c>
    </row>
    <row r="159" spans="1:7" ht="12.75">
      <c r="A159" s="1" t="s">
        <v>7</v>
      </c>
      <c r="B159" s="1" t="s">
        <v>8</v>
      </c>
      <c r="C159" s="1" t="s">
        <v>56</v>
      </c>
      <c r="D159" s="1">
        <v>59</v>
      </c>
      <c r="E159" s="1"/>
      <c r="F159" s="1" t="s">
        <v>23</v>
      </c>
      <c r="G159" s="1" t="str">
        <f>HYPERLINK("http://www.stromypodkontrolou.cz/map/?draw_selection_circle=1#%7B%22lat%22%3A%2049.6739424430369%2C%20%22lng%22%3A%2018.6695898281873%2C%20%22zoom%22%3A%2020%7D")</f>
        <v>http://www.stromypodkontrolou.cz/map/?draw_selection_circle=1#%7B%22lat%22%3A%2049.6739424430369%2C%20%22lng%22%3A%2018.6695898281873%2C%20%22zoom%22%3A%2020%7D</v>
      </c>
    </row>
    <row r="160" spans="1:7" ht="12.75">
      <c r="A160" s="1" t="s">
        <v>7</v>
      </c>
      <c r="B160" s="1" t="s">
        <v>8</v>
      </c>
      <c r="C160" s="1" t="s">
        <v>56</v>
      </c>
      <c r="D160" s="1">
        <v>54</v>
      </c>
      <c r="E160" s="1"/>
      <c r="F160" s="1" t="s">
        <v>23</v>
      </c>
      <c r="G160" s="1" t="str">
        <f>HYPERLINK("http://www.stromypodkontrolou.cz/map/?draw_selection_circle=1#%7B%22lat%22%3A%2049.6738343750949%2C%20%22lng%22%3A%2018.6696474353016%2C%20%22zoom%22%3A%2020%7D")</f>
        <v>http://www.stromypodkontrolou.cz/map/?draw_selection_circle=1#%7B%22lat%22%3A%2049.6738343750949%2C%20%22lng%22%3A%2018.6696474353016%2C%20%22zoom%22%3A%2020%7D</v>
      </c>
    </row>
    <row r="161" spans="1:7" ht="12.75">
      <c r="A161" s="1" t="s">
        <v>7</v>
      </c>
      <c r="B161" s="1" t="s">
        <v>8</v>
      </c>
      <c r="C161" s="1" t="s">
        <v>22</v>
      </c>
      <c r="D161" s="1">
        <v>165</v>
      </c>
      <c r="E161" s="1"/>
      <c r="F161" s="1" t="s">
        <v>42</v>
      </c>
      <c r="G161" s="1" t="str">
        <f>HYPERLINK("http://www.stromypodkontrolou.cz/map/?draw_selection_circle=1#%7B%22lat%22%3A%2049.6706824220591%2C%20%22lng%22%3A%2018.6718018509149%2C%20%22zoom%22%3A%2020%7D")</f>
        <v>http://www.stromypodkontrolou.cz/map/?draw_selection_circle=1#%7B%22lat%22%3A%2049.6706824220591%2C%20%22lng%22%3A%2018.6718018509149%2C%20%22zoom%22%3A%2020%7D</v>
      </c>
    </row>
    <row r="162" spans="1:7" ht="12.75">
      <c r="A162" s="1" t="s">
        <v>7</v>
      </c>
      <c r="B162" s="1" t="s">
        <v>8</v>
      </c>
      <c r="C162" s="1" t="s">
        <v>22</v>
      </c>
      <c r="D162" s="1">
        <v>105</v>
      </c>
      <c r="E162" s="1"/>
      <c r="F162" s="1" t="s">
        <v>10</v>
      </c>
      <c r="G162" s="1" t="str">
        <f>HYPERLINK("http://www.stromypodkontrolou.cz/map/?draw_selection_circle=1#%7B%22lat%22%3A%2049.6704882281615%2C%20%22lng%22%3A%2018.6723347557922%2C%20%22zoom%22%3A%2020%7D")</f>
        <v>http://www.stromypodkontrolou.cz/map/?draw_selection_circle=1#%7B%22lat%22%3A%2049.6704882281615%2C%20%22lng%22%3A%2018.6723347557922%2C%20%22zoom%22%3A%2020%7D</v>
      </c>
    </row>
    <row r="163" spans="1:7" ht="12.75">
      <c r="A163" s="1" t="s">
        <v>7</v>
      </c>
      <c r="B163" s="1" t="s">
        <v>8</v>
      </c>
      <c r="C163" s="1" t="s">
        <v>81</v>
      </c>
      <c r="D163" s="1">
        <v>65</v>
      </c>
      <c r="E163" s="1"/>
      <c r="F163" s="1" t="s">
        <v>13</v>
      </c>
      <c r="G163" s="1" t="str">
        <f>HYPERLINK("http://www.stromypodkontrolou.cz/map/?draw_selection_circle=1#%7B%22lat%22%3A%2049.6690774172596%2C%20%22lng%22%3A%2018.6729946778118%2C%20%22zoom%22%3A%2020%7D")</f>
        <v>http://www.stromypodkontrolou.cz/map/?draw_selection_circle=1#%7B%22lat%22%3A%2049.6690774172596%2C%20%22lng%22%3A%2018.6729946778118%2C%20%22zoom%22%3A%2020%7D</v>
      </c>
    </row>
    <row r="164" spans="1:7" ht="12.75">
      <c r="A164" s="1" t="s">
        <v>7</v>
      </c>
      <c r="B164" s="1" t="s">
        <v>8</v>
      </c>
      <c r="C164" s="1" t="s">
        <v>26</v>
      </c>
      <c r="D164" s="1">
        <v>144</v>
      </c>
      <c r="E164" s="1"/>
      <c r="F164" s="1" t="s">
        <v>112</v>
      </c>
      <c r="G164" s="1" t="str">
        <f>HYPERLINK("http://www.stromypodkontrolou.cz/map/?draw_selection_circle=1#%7B%22lat%22%3A%2049.6655519441729%2C%20%22lng%22%3A%2018.6754693538287%2C%20%22zoom%22%3A%2020%7D")</f>
        <v>http://www.stromypodkontrolou.cz/map/?draw_selection_circle=1#%7B%22lat%22%3A%2049.6655519441729%2C%20%22lng%22%3A%2018.6754693538287%2C%20%22zoom%22%3A%2020%7D</v>
      </c>
    </row>
    <row r="165" spans="1:7" ht="12.75">
      <c r="A165" s="1" t="s">
        <v>7</v>
      </c>
      <c r="B165" s="1" t="s">
        <v>8</v>
      </c>
      <c r="C165" s="1" t="s">
        <v>25</v>
      </c>
      <c r="D165" s="1">
        <v>70</v>
      </c>
      <c r="E165" s="1"/>
      <c r="F165" s="1" t="s">
        <v>104</v>
      </c>
      <c r="G165" s="1" t="str">
        <f>HYPERLINK("http://www.stromypodkontrolou.cz/map/?draw_selection_circle=1#%7B%22lat%22%3A%2049.6635793842%2C%20%22lng%22%3A%2018.6723121265%2C%20%22zoom%22%3A%2020%7D")</f>
        <v>http://www.stromypodkontrolou.cz/map/?draw_selection_circle=1#%7B%22lat%22%3A%2049.6635793842%2C%20%22lng%22%3A%2018.6723121265%2C%20%22zoom%22%3A%2020%7D</v>
      </c>
    </row>
    <row r="166" spans="1:7" ht="12.75">
      <c r="A166" s="1" t="s">
        <v>7</v>
      </c>
      <c r="B166" s="1" t="s">
        <v>8</v>
      </c>
      <c r="C166" s="1" t="s">
        <v>25</v>
      </c>
      <c r="D166" s="1">
        <v>71</v>
      </c>
      <c r="E166" s="1"/>
      <c r="F166" s="1" t="s">
        <v>57</v>
      </c>
      <c r="G166" s="1" t="str">
        <f>HYPERLINK("http://www.stromypodkontrolou.cz/map/?draw_selection_circle=1#%7B%22lat%22%3A%2049.6636337635732%2C%20%22lng%22%3A%2018.6723237962887%2C%20%22zoom%22%3A%2020%7D")</f>
        <v>http://www.stromypodkontrolou.cz/map/?draw_selection_circle=1#%7B%22lat%22%3A%2049.6636337635732%2C%20%22lng%22%3A%2018.6723237962887%2C%20%22zoom%22%3A%2020%7D</v>
      </c>
    </row>
    <row r="167" spans="1:7" ht="12.75">
      <c r="A167" s="1" t="s">
        <v>7</v>
      </c>
      <c r="B167" s="1" t="s">
        <v>8</v>
      </c>
      <c r="C167" s="1" t="s">
        <v>73</v>
      </c>
      <c r="D167" s="1">
        <v>18</v>
      </c>
      <c r="E167" s="1"/>
      <c r="F167" s="1" t="s">
        <v>46</v>
      </c>
      <c r="G167" s="1" t="str">
        <f>HYPERLINK("http://www.stromypodkontrolou.cz/map/?draw_selection_circle=1#%7B%22lat%22%3A%2049.6651871708%2C%20%22lng%22%3A%2018.6772845001%2C%20%22zoom%22%3A%2020%7D")</f>
        <v>http://www.stromypodkontrolou.cz/map/?draw_selection_circle=1#%7B%22lat%22%3A%2049.6651871708%2C%20%22lng%22%3A%2018.6772845001%2C%20%22zoom%22%3A%2020%7D</v>
      </c>
    </row>
    <row r="168" spans="1:7" ht="12.75">
      <c r="A168" s="1" t="s">
        <v>7</v>
      </c>
      <c r="B168" s="1" t="s">
        <v>8</v>
      </c>
      <c r="C168" s="1" t="s">
        <v>73</v>
      </c>
      <c r="D168" s="1">
        <v>16</v>
      </c>
      <c r="E168" s="1"/>
      <c r="F168" s="1" t="s">
        <v>46</v>
      </c>
      <c r="G168" s="1" t="str">
        <f>HYPERLINK("http://www.stromypodkontrolou.cz/map/?draw_selection_circle=1#%7B%22lat%22%3A%2049.6652137402%2C%20%22lng%22%3A%2018.6772443978%2C%20%22zoom%22%3A%2020%7D")</f>
        <v>http://www.stromypodkontrolou.cz/map/?draw_selection_circle=1#%7B%22lat%22%3A%2049.6652137402%2C%20%22lng%22%3A%2018.6772443978%2C%20%22zoom%22%3A%2020%7D</v>
      </c>
    </row>
    <row r="169" spans="1:7" ht="12.75">
      <c r="A169" s="1" t="s">
        <v>7</v>
      </c>
      <c r="B169" s="1" t="s">
        <v>8</v>
      </c>
      <c r="C169" s="1" t="s">
        <v>73</v>
      </c>
      <c r="D169" s="1">
        <v>51</v>
      </c>
      <c r="E169" s="1"/>
      <c r="F169" s="1" t="s">
        <v>72</v>
      </c>
      <c r="G169" s="1" t="str">
        <f>HYPERLINK("http://www.stromypodkontrolou.cz/map/?draw_selection_circle=1#%7B%22lat%22%3A%2049.6648480747024%2C%20%22lng%22%3A%2018.6772566779716%2C%20%22zoom%22%3A%2020%7D")</f>
        <v>http://www.stromypodkontrolou.cz/map/?draw_selection_circle=1#%7B%22lat%22%3A%2049.6648480747024%2C%20%22lng%22%3A%2018.6772566779716%2C%20%22zoom%22%3A%2020%7D</v>
      </c>
    </row>
    <row r="170" spans="1:7" ht="12.75">
      <c r="A170" s="1" t="s">
        <v>7</v>
      </c>
      <c r="B170" s="1" t="s">
        <v>8</v>
      </c>
      <c r="C170" s="1" t="s">
        <v>73</v>
      </c>
      <c r="D170" s="1">
        <v>255</v>
      </c>
      <c r="E170" s="1"/>
      <c r="F170" s="1" t="s">
        <v>113</v>
      </c>
      <c r="G170" s="1" t="str">
        <f>HYPERLINK("http://www.stromypodkontrolou.cz/map/?draw_selection_circle=1#%7B%22lat%22%3A%2049.6635828222364%2C%20%22lng%22%3A%2018.6793620883311%2C%20%22zoom%22%3A%2020%7D")</f>
        <v>http://www.stromypodkontrolou.cz/map/?draw_selection_circle=1#%7B%22lat%22%3A%2049.6635828222364%2C%20%22lng%22%3A%2018.6793620883311%2C%20%22zoom%22%3A%2020%7D</v>
      </c>
    </row>
    <row r="171" spans="1:7" ht="12.75">
      <c r="A171" s="1" t="s">
        <v>7</v>
      </c>
      <c r="B171" s="1" t="s">
        <v>8</v>
      </c>
      <c r="C171" s="1" t="s">
        <v>73</v>
      </c>
      <c r="D171" s="1">
        <v>237</v>
      </c>
      <c r="E171" s="1"/>
      <c r="F171" s="1" t="s">
        <v>114</v>
      </c>
      <c r="G171" s="1" t="str">
        <f>HYPERLINK("http://www.stromypodkontrolou.cz/map/?draw_selection_circle=1#%7B%22lat%22%3A%2049.6636037193%2C%20%22lng%22%3A%2018.6794580432%2C%20%22zoom%22%3A%2020%7D")</f>
        <v>http://www.stromypodkontrolou.cz/map/?draw_selection_circle=1#%7B%22lat%22%3A%2049.6636037193%2C%20%22lng%22%3A%2018.6794580432%2C%20%22zoom%22%3A%2020%7D</v>
      </c>
    </row>
    <row r="172" spans="1:7" ht="12.75">
      <c r="A172" s="1" t="s">
        <v>7</v>
      </c>
      <c r="B172" s="1" t="s">
        <v>8</v>
      </c>
      <c r="C172" s="1" t="s">
        <v>38</v>
      </c>
      <c r="D172" s="1">
        <v>244</v>
      </c>
      <c r="E172" s="1"/>
      <c r="F172" s="1" t="s">
        <v>27</v>
      </c>
      <c r="G172" s="1" t="str">
        <f>HYPERLINK("http://www.stromypodkontrolou.cz/map/?draw_selection_circle=1#%7B%22lat%22%3A%2049.6628331455423%2C%20%22lng%22%3A%2018.6817228320606%2C%20%22zoom%22%3A%2020%7D")</f>
        <v>http://www.stromypodkontrolou.cz/map/?draw_selection_circle=1#%7B%22lat%22%3A%2049.6628331455423%2C%20%22lng%22%3A%2018.6817228320606%2C%20%22zoom%22%3A%2020%7D</v>
      </c>
    </row>
    <row r="173" spans="1:7" ht="12.75">
      <c r="A173" s="1" t="s">
        <v>7</v>
      </c>
      <c r="B173" s="1" t="s">
        <v>8</v>
      </c>
      <c r="C173" s="1" t="s">
        <v>38</v>
      </c>
      <c r="D173" s="1">
        <v>274</v>
      </c>
      <c r="E173" s="1"/>
      <c r="F173" s="1" t="s">
        <v>112</v>
      </c>
      <c r="G173" s="1" t="str">
        <f>HYPERLINK("http://www.stromypodkontrolou.cz/map/?draw_selection_circle=1#%7B%22lat%22%3A%2049.6627944140655%2C%20%22lng%22%3A%2018.6816749935087%2C%20%22zoom%22%3A%2020%7D")</f>
        <v>http://www.stromypodkontrolou.cz/map/?draw_selection_circle=1#%7B%22lat%22%3A%2049.6627944140655%2C%20%22lng%22%3A%2018.6816749935087%2C%20%22zoom%22%3A%2020%7D</v>
      </c>
    </row>
    <row r="174" spans="1:7" ht="12.75">
      <c r="A174" s="1" t="s">
        <v>7</v>
      </c>
      <c r="B174" s="1" t="s">
        <v>8</v>
      </c>
      <c r="C174" s="1" t="s">
        <v>66</v>
      </c>
      <c r="D174" s="1">
        <v>49</v>
      </c>
      <c r="E174" s="1"/>
      <c r="F174" s="1" t="s">
        <v>72</v>
      </c>
      <c r="G174" s="1" t="str">
        <f>HYPERLINK("http://www.stromypodkontrolou.cz/map/?draw_selection_circle=1#%7B%22lat%22%3A%2049.6642406779343%2C%20%22lng%22%3A%2018.6816013479332%2C%20%22zoom%22%3A%2020%7D")</f>
        <v>http://www.stromypodkontrolou.cz/map/?draw_selection_circle=1#%7B%22lat%22%3A%2049.6642406779343%2C%20%22lng%22%3A%2018.6816013479332%2C%20%22zoom%22%3A%2020%7D</v>
      </c>
    </row>
    <row r="175" spans="1:7" ht="12.75">
      <c r="A175" s="1" t="s">
        <v>7</v>
      </c>
      <c r="B175" s="1" t="s">
        <v>8</v>
      </c>
      <c r="C175" s="1" t="s">
        <v>66</v>
      </c>
      <c r="D175" s="1">
        <v>109</v>
      </c>
      <c r="E175" s="1"/>
      <c r="F175" s="1" t="s">
        <v>41</v>
      </c>
      <c r="G175" s="1" t="str">
        <f>HYPERLINK("http://www.stromypodkontrolou.cz/map/?draw_selection_circle=1#%7B%22lat%22%3A%2049.6645611689%2C%20%22lng%22%3A%2018.6823501885%2C%20%22zoom%22%3A%2020%7D")</f>
        <v>http://www.stromypodkontrolou.cz/map/?draw_selection_circle=1#%7B%22lat%22%3A%2049.6645611689%2C%20%22lng%22%3A%2018.6823501885%2C%20%22zoom%22%3A%2020%7D</v>
      </c>
    </row>
    <row r="176" spans="1:7" ht="12.75">
      <c r="A176" s="1" t="s">
        <v>7</v>
      </c>
      <c r="B176" s="1" t="s">
        <v>8</v>
      </c>
      <c r="C176" s="1" t="s">
        <v>115</v>
      </c>
      <c r="D176" s="1">
        <v>100</v>
      </c>
      <c r="E176" s="1"/>
      <c r="F176" s="1" t="s">
        <v>13</v>
      </c>
      <c r="G176" s="1" t="str">
        <f>HYPERLINK("http://www.stromypodkontrolou.cz/map/?draw_selection_circle=1#%7B%22lat%22%3A%2049.6677801824092%2C%20%22lng%22%3A%2018.6818849736358%2C%20%22zoom%22%3A%2020%7D")</f>
        <v>http://www.stromypodkontrolou.cz/map/?draw_selection_circle=1#%7B%22lat%22%3A%2049.6677801824092%2C%20%22lng%22%3A%2018.6818849736358%2C%20%22zoom%22%3A%2020%7D</v>
      </c>
    </row>
    <row r="177" spans="1:7" ht="12.75">
      <c r="A177" s="1" t="s">
        <v>7</v>
      </c>
      <c r="B177" s="1" t="s">
        <v>8</v>
      </c>
      <c r="C177" s="1" t="s">
        <v>63</v>
      </c>
      <c r="D177" s="1">
        <v>311</v>
      </c>
      <c r="E177" s="1"/>
      <c r="F177" s="1" t="s">
        <v>24</v>
      </c>
      <c r="G177" s="1" t="str">
        <f>HYPERLINK("http://www.stromypodkontrolou.cz/map/?draw_selection_circle=1#%7B%22lat%22%3A%2049.669162972071%2C%20%22lng%22%3A%2018.6818171125559%2C%20%22zoom%22%3A%2020%7D")</f>
        <v>http://www.stromypodkontrolou.cz/map/?draw_selection_circle=1#%7B%22lat%22%3A%2049.669162972071%2C%20%22lng%22%3A%2018.6818171125559%2C%20%22zoom%22%3A%2020%7D</v>
      </c>
    </row>
    <row r="178" spans="1:7" ht="12.75">
      <c r="A178" s="1" t="s">
        <v>7</v>
      </c>
      <c r="B178" s="1" t="s">
        <v>8</v>
      </c>
      <c r="C178" s="1" t="s">
        <v>63</v>
      </c>
      <c r="D178" s="1">
        <v>93</v>
      </c>
      <c r="E178" s="1"/>
      <c r="F178" s="1" t="s">
        <v>11</v>
      </c>
      <c r="G178" s="1" t="str">
        <f>HYPERLINK("http://www.stromypodkontrolou.cz/map/?draw_selection_circle=1#%7B%22lat%22%3A%2049.6692431472989%2C%20%22lng%22%3A%2018.681659938646%2C%20%22zoom%22%3A%2020%7D")</f>
        <v>http://www.stromypodkontrolou.cz/map/?draw_selection_circle=1#%7B%22lat%22%3A%2049.6692431472989%2C%20%22lng%22%3A%2018.681659938646%2C%20%22zoom%22%3A%2020%7D</v>
      </c>
    </row>
    <row r="179" spans="1:7" ht="12.75">
      <c r="A179" s="1" t="s">
        <v>7</v>
      </c>
      <c r="B179" s="1" t="s">
        <v>8</v>
      </c>
      <c r="C179" s="1" t="s">
        <v>63</v>
      </c>
      <c r="D179" s="1">
        <v>94</v>
      </c>
      <c r="E179" s="1"/>
      <c r="F179" s="1" t="s">
        <v>11</v>
      </c>
      <c r="G179" s="1" t="str">
        <f>HYPERLINK("http://www.stromypodkontrolou.cz/map/?draw_selection_circle=1#%7B%22lat%22%3A%2049.6692802078%2C%20%22lng%22%3A%2018.6816148534%2C%20%22zoom%22%3A%2020%7D")</f>
        <v>http://www.stromypodkontrolou.cz/map/?draw_selection_circle=1#%7B%22lat%22%3A%2049.6692802078%2C%20%22lng%22%3A%2018.6816148534%2C%20%22zoom%22%3A%2020%7D</v>
      </c>
    </row>
    <row r="180" spans="1:7" ht="12.75">
      <c r="A180" s="1" t="s">
        <v>7</v>
      </c>
      <c r="B180" s="1" t="s">
        <v>8</v>
      </c>
      <c r="C180" s="1" t="s">
        <v>63</v>
      </c>
      <c r="D180" s="1">
        <v>95</v>
      </c>
      <c r="E180" s="1"/>
      <c r="F180" s="1" t="s">
        <v>11</v>
      </c>
      <c r="G180" s="1" t="str">
        <f>HYPERLINK("http://www.stromypodkontrolou.cz/map/?draw_selection_circle=1#%7B%22lat%22%3A%2049.6693096298%2C%20%22lng%22%3A%2018.6815835981%2C%20%22zoom%22%3A%2020%7D")</f>
        <v>http://www.stromypodkontrolou.cz/map/?draw_selection_circle=1#%7B%22lat%22%3A%2049.6693096298%2C%20%22lng%22%3A%2018.6815835981%2C%20%22zoom%22%3A%2020%7D</v>
      </c>
    </row>
    <row r="181" spans="1:7" ht="12.75">
      <c r="A181" s="1" t="s">
        <v>7</v>
      </c>
      <c r="B181" s="1" t="s">
        <v>8</v>
      </c>
      <c r="C181" s="1" t="s">
        <v>63</v>
      </c>
      <c r="D181" s="1">
        <v>411</v>
      </c>
      <c r="E181" s="1"/>
      <c r="F181" s="1" t="s">
        <v>11</v>
      </c>
      <c r="G181" s="1" t="str">
        <f>HYPERLINK("http://www.stromypodkontrolou.cz/map/?draw_selection_circle=1#%7B%22lat%22%3A%2049.6670039277148%2C%20%22lng%22%3A%2018.6843192998403%2C%20%22zoom%22%3A%2020%7D")</f>
        <v>http://www.stromypodkontrolou.cz/map/?draw_selection_circle=1#%7B%22lat%22%3A%2049.6670039277148%2C%20%22lng%22%3A%2018.6843192998403%2C%20%22zoom%22%3A%2020%7D</v>
      </c>
    </row>
    <row r="182" spans="1:7" ht="12.75">
      <c r="A182" s="1" t="s">
        <v>7</v>
      </c>
      <c r="B182" s="1" t="s">
        <v>8</v>
      </c>
      <c r="C182" s="1" t="s">
        <v>116</v>
      </c>
      <c r="D182" s="1">
        <v>129</v>
      </c>
      <c r="E182" s="1"/>
      <c r="F182" s="1" t="s">
        <v>13</v>
      </c>
      <c r="G182" s="1" t="str">
        <f>HYPERLINK("http://www.stromypodkontrolou.cz/map/?draw_selection_circle=1#%7B%22lat%22%3A%2049.6645345844%2C%20%22lng%22%3A%2018.6860288969%2C%20%22zoom%22%3A%2020%7D")</f>
        <v>http://www.stromypodkontrolou.cz/map/?draw_selection_circle=1#%7B%22lat%22%3A%2049.6645345844%2C%20%22lng%22%3A%2018.6860288969%2C%20%22zoom%22%3A%2020%7D</v>
      </c>
    </row>
    <row r="183" spans="1:7" ht="12.75">
      <c r="A183" s="1" t="s">
        <v>7</v>
      </c>
      <c r="B183" s="1" t="s">
        <v>8</v>
      </c>
      <c r="C183" s="1" t="s">
        <v>116</v>
      </c>
      <c r="D183" s="1">
        <v>131</v>
      </c>
      <c r="E183" s="1"/>
      <c r="F183" s="1" t="s">
        <v>13</v>
      </c>
      <c r="G183" s="1" t="str">
        <f>HYPERLINK("http://www.stromypodkontrolou.cz/map/?draw_selection_circle=1#%7B%22lat%22%3A%2049.6645527073%2C%20%22lng%22%3A%2018.6860560695%2C%20%22zoom%22%3A%2020%7D")</f>
        <v>http://www.stromypodkontrolou.cz/map/?draw_selection_circle=1#%7B%22lat%22%3A%2049.6645527073%2C%20%22lng%22%3A%2018.6860560695%2C%20%22zoom%22%3A%2020%7D</v>
      </c>
    </row>
    <row r="184" spans="1:7" ht="12.75">
      <c r="A184" s="1" t="s">
        <v>7</v>
      </c>
      <c r="B184" s="1" t="s">
        <v>8</v>
      </c>
      <c r="C184" s="1" t="s">
        <v>48</v>
      </c>
      <c r="D184" s="1">
        <v>94</v>
      </c>
      <c r="E184" s="1"/>
      <c r="F184" s="1" t="s">
        <v>24</v>
      </c>
      <c r="G184" s="1" t="str">
        <f>HYPERLINK("http://www.stromypodkontrolou.cz/map/?draw_selection_circle=1#%7B%22lat%22%3A%2049.6668111928%2C%20%22lng%22%3A%2018.6842883543%2C%20%22zoom%22%3A%2020%7D")</f>
        <v>http://www.stromypodkontrolou.cz/map/?draw_selection_circle=1#%7B%22lat%22%3A%2049.6668111928%2C%20%22lng%22%3A%2018.6842883543%2C%20%22zoom%22%3A%2020%7D</v>
      </c>
    </row>
    <row r="185" spans="1:7" ht="12.75">
      <c r="A185" s="1" t="s">
        <v>7</v>
      </c>
      <c r="B185" s="1" t="s">
        <v>8</v>
      </c>
      <c r="C185" s="1" t="s">
        <v>63</v>
      </c>
      <c r="D185" s="1">
        <v>437</v>
      </c>
      <c r="E185" s="1"/>
      <c r="F185" s="1" t="s">
        <v>117</v>
      </c>
      <c r="G185" s="1" t="str">
        <f>HYPERLINK("http://www.stromypodkontrolou.cz/map/?draw_selection_circle=1#%7B%22lat%22%3A%2049.6672361802692%2C%20%22lng%22%3A%2018.6844951650203%2C%20%22zoom%22%3A%2020%7D")</f>
        <v>http://www.stromypodkontrolou.cz/map/?draw_selection_circle=1#%7B%22lat%22%3A%2049.6672361802692%2C%20%22lng%22%3A%2018.6844951650203%2C%20%22zoom%22%3A%2020%7D</v>
      </c>
    </row>
    <row r="186" spans="1:7" ht="12.75">
      <c r="A186" s="1" t="s">
        <v>7</v>
      </c>
      <c r="B186" s="1" t="s">
        <v>8</v>
      </c>
      <c r="C186" s="1" t="s">
        <v>43</v>
      </c>
      <c r="D186" s="1">
        <v>252</v>
      </c>
      <c r="E186" s="1"/>
      <c r="F186" s="1" t="s">
        <v>11</v>
      </c>
      <c r="G186" s="1" t="str">
        <f>HYPERLINK("http://www.stromypodkontrolou.cz/map/?draw_selection_circle=1#%7B%22lat%22%3A%2049.6734430304%2C%20%22lng%22%3A%2018.6703966398%2C%20%22zoom%22%3A%2020%7D")</f>
        <v>http://www.stromypodkontrolou.cz/map/?draw_selection_circle=1#%7B%22lat%22%3A%2049.6734430304%2C%20%22lng%22%3A%2018.6703966398%2C%20%22zoom%22%3A%2020%7D</v>
      </c>
    </row>
    <row r="187" spans="1:7" ht="12.75">
      <c r="A187" s="1" t="s">
        <v>7</v>
      </c>
      <c r="B187" s="1" t="s">
        <v>8</v>
      </c>
      <c r="C187" s="1" t="s">
        <v>43</v>
      </c>
      <c r="D187" s="1">
        <v>86</v>
      </c>
      <c r="E187" s="1"/>
      <c r="F187" s="1" t="s">
        <v>46</v>
      </c>
      <c r="G187" s="1" t="str">
        <f>HYPERLINK("http://www.stromypodkontrolou.cz/map/?draw_selection_circle=1#%7B%22lat%22%3A%2049.6750680160365%2C%20%22lng%22%3A%2018.6692997934478%2C%20%22zoom%22%3A%2020%7D")</f>
        <v>http://www.stromypodkontrolou.cz/map/?draw_selection_circle=1#%7B%22lat%22%3A%2049.6750680160365%2C%20%22lng%22%3A%2018.6692997934478%2C%20%22zoom%22%3A%2020%7D</v>
      </c>
    </row>
    <row r="188" spans="1:7" ht="12.75">
      <c r="A188" s="1" t="s">
        <v>7</v>
      </c>
      <c r="B188" s="1" t="s">
        <v>8</v>
      </c>
      <c r="C188" s="1" t="s">
        <v>115</v>
      </c>
      <c r="D188" s="1">
        <v>99</v>
      </c>
      <c r="E188" s="1"/>
      <c r="F188" s="1" t="s">
        <v>24</v>
      </c>
      <c r="G188" s="1" t="str">
        <f>HYPERLINK("http://www.stromypodkontrolou.cz/map/?draw_selection_circle=1#%7B%22lat%22%3A%2049.6678167151409%2C%20%22lng%22%3A%2018.6819669359793%2C%20%22zoom%22%3A%2020%7D")</f>
        <v>http://www.stromypodkontrolou.cz/map/?draw_selection_circle=1#%7B%22lat%22%3A%2049.6678167151409%2C%20%22lng%22%3A%2018.6819669359793%2C%20%22zoom%22%3A%2020%7D</v>
      </c>
    </row>
    <row r="189" spans="1:7" ht="12.75">
      <c r="A189" s="1" t="s">
        <v>7</v>
      </c>
      <c r="B189" s="1" t="s">
        <v>8</v>
      </c>
      <c r="C189" s="1" t="s">
        <v>115</v>
      </c>
      <c r="D189" s="1">
        <v>69</v>
      </c>
      <c r="E189" s="1"/>
      <c r="F189" s="1" t="s">
        <v>28</v>
      </c>
      <c r="G189" s="1" t="str">
        <f>HYPERLINK("http://www.stromypodkontrolou.cz/map/?draw_selection_circle=1#%7B%22lat%22%3A%2049.6678347327%2C%20%22lng%22%3A%2018.6807857095%2C%20%22zoom%22%3A%2020%7D")</f>
        <v>http://www.stromypodkontrolou.cz/map/?draw_selection_circle=1#%7B%22lat%22%3A%2049.6678347327%2C%20%22lng%22%3A%2018.6807857095%2C%20%22zoom%22%3A%2020%7D</v>
      </c>
    </row>
    <row r="190" spans="1:7" ht="12.75">
      <c r="A190" s="1" t="s">
        <v>7</v>
      </c>
      <c r="B190" s="1" t="s">
        <v>8</v>
      </c>
      <c r="C190" s="1" t="s">
        <v>49</v>
      </c>
      <c r="D190" s="1">
        <v>91</v>
      </c>
      <c r="E190" s="1"/>
      <c r="F190" s="1" t="s">
        <v>11</v>
      </c>
      <c r="G190" s="1" t="str">
        <f>HYPERLINK("http://www.stromypodkontrolou.cz/map/?draw_selection_circle=1#%7B%22lat%22%3A%2049.6680043991716%2C%20%22lng%22%3A%2018.6799862561902%2C%20%22zoom%22%3A%2020%7D")</f>
        <v>http://www.stromypodkontrolou.cz/map/?draw_selection_circle=1#%7B%22lat%22%3A%2049.6680043991716%2C%20%22lng%22%3A%2018.6799862561902%2C%20%22zoom%22%3A%2020%7D</v>
      </c>
    </row>
    <row r="191" spans="1:7" ht="12.75">
      <c r="A191" s="1" t="s">
        <v>7</v>
      </c>
      <c r="B191" s="1" t="s">
        <v>8</v>
      </c>
      <c r="C191" s="1" t="s">
        <v>73</v>
      </c>
      <c r="D191" s="1">
        <v>1</v>
      </c>
      <c r="E191" s="1"/>
      <c r="F191" s="1" t="s">
        <v>44</v>
      </c>
      <c r="G191" s="1" t="str">
        <f>HYPERLINK("http://www.stromypodkontrolou.cz/map/?draw_selection_circle=1#%7B%22lat%22%3A%2049.6654397393%2C%20%22lng%22%3A%2018.6774091572%2C%20%22zoom%22%3A%2020%7D")</f>
        <v>http://www.stromypodkontrolou.cz/map/?draw_selection_circle=1#%7B%22lat%22%3A%2049.6654397393%2C%20%22lng%22%3A%2018.6774091572%2C%20%22zoom%22%3A%2020%7D</v>
      </c>
    </row>
    <row r="192" spans="1:7" ht="12.75">
      <c r="A192" s="1" t="s">
        <v>7</v>
      </c>
      <c r="B192" s="1" t="s">
        <v>8</v>
      </c>
      <c r="C192" s="1" t="s">
        <v>81</v>
      </c>
      <c r="D192" s="1">
        <v>88</v>
      </c>
      <c r="E192" s="1"/>
      <c r="F192" s="1" t="s">
        <v>72</v>
      </c>
      <c r="G192" s="1" t="str">
        <f>HYPERLINK("http://www.stromypodkontrolou.cz/map/?draw_selection_circle=1#%7B%22lat%22%3A%2049.6684993301368%2C%20%22lng%22%3A%2018.6735900284393%2C%20%22zoom%22%3A%2020%7D")</f>
        <v>http://www.stromypodkontrolou.cz/map/?draw_selection_circle=1#%7B%22lat%22%3A%2049.6684993301368%2C%20%22lng%22%3A%2018.6735900284393%2C%20%22zoom%22%3A%2020%7D</v>
      </c>
    </row>
    <row r="193" spans="1:7" ht="12.75">
      <c r="A193" s="1" t="s">
        <v>7</v>
      </c>
      <c r="B193" s="1" t="s">
        <v>8</v>
      </c>
      <c r="C193" s="1" t="s">
        <v>25</v>
      </c>
      <c r="D193" s="1">
        <v>161</v>
      </c>
      <c r="E193" s="1"/>
      <c r="F193" s="1" t="s">
        <v>118</v>
      </c>
      <c r="G193" s="1" t="str">
        <f>HYPERLINK("http://www.stromypodkontrolou.cz/map/?draw_selection_circle=1#%7B%22lat%22%3A%2049.667165367329%2C%20%22lng%22%3A%2018.672871266508%2C%20%22zoom%22%3A%2020%7D")</f>
        <v>http://www.stromypodkontrolou.cz/map/?draw_selection_circle=1#%7B%22lat%22%3A%2049.667165367329%2C%20%22lng%22%3A%2018.672871266508%2C%20%22zoom%22%3A%2020%7D</v>
      </c>
    </row>
    <row r="194" spans="1:7" ht="12.75">
      <c r="A194" s="1" t="s">
        <v>7</v>
      </c>
      <c r="B194" s="1" t="s">
        <v>8</v>
      </c>
      <c r="C194" s="1" t="s">
        <v>25</v>
      </c>
      <c r="D194" s="1">
        <v>167</v>
      </c>
      <c r="E194" s="1"/>
      <c r="F194" s="1" t="s">
        <v>70</v>
      </c>
      <c r="G194" s="1" t="str">
        <f>HYPERLINK("http://www.stromypodkontrolou.cz/map/?draw_selection_circle=1#%7B%22lat%22%3A%2049.6672107563474%2C%20%22lng%22%3A%2018.6721073920371%2C%20%22zoom%22%3A%2020%7D")</f>
        <v>http://www.stromypodkontrolou.cz/map/?draw_selection_circle=1#%7B%22lat%22%3A%2049.6672107563474%2C%20%22lng%22%3A%2018.6721073920371%2C%20%22zoom%22%3A%2020%7D</v>
      </c>
    </row>
    <row r="195" spans="1:7" ht="12.75">
      <c r="A195" s="1" t="s">
        <v>7</v>
      </c>
      <c r="B195" s="1" t="s">
        <v>8</v>
      </c>
      <c r="C195" s="1" t="s">
        <v>81</v>
      </c>
      <c r="D195" s="1">
        <v>460</v>
      </c>
      <c r="E195" s="1"/>
      <c r="F195" s="1" t="s">
        <v>114</v>
      </c>
      <c r="G195" s="1" t="str">
        <f>HYPERLINK("http://www.stromypodkontrolou.cz/map/?draw_selection_circle=1#%7B%22lat%22%3A%2049.6701302259917%2C%20%22lng%22%3A%2018.6729428434721%2C%20%22zoom%22%3A%2020%7D")</f>
        <v>http://www.stromypodkontrolou.cz/map/?draw_selection_circle=1#%7B%22lat%22%3A%2049.6701302259917%2C%20%22lng%22%3A%2018.6729428434721%2C%20%22zoom%22%3A%2020%7D</v>
      </c>
    </row>
    <row r="196" spans="1:7" ht="12.75">
      <c r="A196" s="1" t="s">
        <v>7</v>
      </c>
      <c r="B196" s="1" t="s">
        <v>8</v>
      </c>
      <c r="C196" s="1" t="s">
        <v>25</v>
      </c>
      <c r="D196" s="1">
        <v>48</v>
      </c>
      <c r="E196" s="1"/>
      <c r="F196" s="1" t="s">
        <v>72</v>
      </c>
      <c r="G196" s="1" t="str">
        <f>HYPERLINK("http://www.stromypodkontrolou.cz/map/?draw_selection_circle=1#%7B%22lat%22%3A%2049.6637111072771%2C%20%22lng%22%3A%2018.6729343234549%2C%20%22zoom%22%3A%2020%7D")</f>
        <v>http://www.stromypodkontrolou.cz/map/?draw_selection_circle=1#%7B%22lat%22%3A%2049.6637111072771%2C%20%22lng%22%3A%2018.6729343234549%2C%20%22zoom%22%3A%2020%7D</v>
      </c>
    </row>
    <row r="197" spans="1:7" ht="12.75">
      <c r="A197" s="1" t="s">
        <v>7</v>
      </c>
      <c r="B197" s="1" t="s">
        <v>8</v>
      </c>
      <c r="C197" s="1" t="s">
        <v>25</v>
      </c>
      <c r="D197" s="1">
        <v>46</v>
      </c>
      <c r="E197" s="1"/>
      <c r="F197" s="1" t="s">
        <v>39</v>
      </c>
      <c r="G197" s="1" t="str">
        <f>HYPERLINK("http://www.stromypodkontrolou.cz/map/?draw_selection_circle=1#%7B%22lat%22%3A%2049.66361525%2C%20%22lng%22%3A%2018.672905747%2C%20%22zoom%22%3A%2020%7D")</f>
        <v>http://www.stromypodkontrolou.cz/map/?draw_selection_circle=1#%7B%22lat%22%3A%2049.66361525%2C%20%22lng%22%3A%2018.672905747%2C%20%22zoom%22%3A%2020%7D</v>
      </c>
    </row>
    <row r="198" spans="1:7" ht="12.75">
      <c r="A198" s="1" t="s">
        <v>7</v>
      </c>
      <c r="B198" s="1" t="s">
        <v>8</v>
      </c>
      <c r="C198" s="1" t="s">
        <v>119</v>
      </c>
      <c r="D198" s="1">
        <v>12</v>
      </c>
      <c r="E198" s="1"/>
      <c r="F198" s="1" t="s">
        <v>57</v>
      </c>
      <c r="G198" s="1" t="str">
        <f>HYPERLINK("http://www.stromypodkontrolou.cz/map/?draw_selection_circle=1#%7B%22lat%22%3A%2049.6633216732%2C%20%22lng%22%3A%2018.6752900132%2C%20%22zoom%22%3A%2020%7D")</f>
        <v>http://www.stromypodkontrolou.cz/map/?draw_selection_circle=1#%7B%22lat%22%3A%2049.6633216732%2C%20%22lng%22%3A%2018.6752900132%2C%20%22zoom%22%3A%2020%7D</v>
      </c>
    </row>
    <row r="199" spans="1:7" ht="12.75">
      <c r="A199" s="1" t="s">
        <v>7</v>
      </c>
      <c r="B199" s="1" t="s">
        <v>8</v>
      </c>
      <c r="C199" s="1" t="s">
        <v>81</v>
      </c>
      <c r="D199" s="1">
        <v>168</v>
      </c>
      <c r="E199" s="1"/>
      <c r="F199" s="1" t="s">
        <v>11</v>
      </c>
      <c r="G199" s="1" t="str">
        <f>HYPERLINK("http://www.stromypodkontrolou.cz/map/?draw_selection_circle=1#%7B%22lat%22%3A%2049.6674261452%2C%20%22lng%22%3A%2018.6734372025%2C%20%22zoom%22%3A%2020%7D")</f>
        <v>http://www.stromypodkontrolou.cz/map/?draw_selection_circle=1#%7B%22lat%22%3A%2049.6674261452%2C%20%22lng%22%3A%2018.6734372025%2C%20%22zoom%22%3A%2020%7D</v>
      </c>
    </row>
    <row r="200" spans="1:7" ht="12.75">
      <c r="A200" s="1" t="s">
        <v>7</v>
      </c>
      <c r="B200" s="1" t="s">
        <v>8</v>
      </c>
      <c r="C200" s="1" t="s">
        <v>26</v>
      </c>
      <c r="D200" s="1">
        <v>18</v>
      </c>
      <c r="E200" s="1"/>
      <c r="F200" s="1" t="s">
        <v>44</v>
      </c>
      <c r="G200" s="1" t="str">
        <f>HYPERLINK("http://www.stromypodkontrolou.cz/map/?draw_selection_circle=1#%7B%22lat%22%3A%2049.6638241542%2C%20%22lng%22%3A%2018.6745329073%2C%20%22zoom%22%3A%2020%7D")</f>
        <v>http://www.stromypodkontrolou.cz/map/?draw_selection_circle=1#%7B%22lat%22%3A%2049.6638241542%2C%20%22lng%22%3A%2018.6745329073%2C%20%22zoom%22%3A%2020%7D</v>
      </c>
    </row>
    <row r="201" spans="1:7" ht="12.75">
      <c r="A201" s="1" t="s">
        <v>7</v>
      </c>
      <c r="B201" s="1" t="s">
        <v>8</v>
      </c>
      <c r="C201" s="1" t="s">
        <v>120</v>
      </c>
      <c r="D201" s="1">
        <v>1</v>
      </c>
      <c r="E201" s="1"/>
      <c r="F201" s="1" t="s">
        <v>121</v>
      </c>
      <c r="G201" s="1" t="str">
        <f>HYPERLINK("http://www.stromypodkontrolou.cz/map/?draw_selection_circle=1#%7B%22lat%22%3A%2049.6827902522974%2C%20%22lng%22%3A%2018.6680686798675%2C%20%22zoom%22%3A%2020%7D")</f>
        <v>http://www.stromypodkontrolou.cz/map/?draw_selection_circle=1#%7B%22lat%22%3A%2049.6827902522974%2C%20%22lng%22%3A%2018.6680686798675%2C%20%22zoom%22%3A%2020%7D</v>
      </c>
    </row>
    <row r="202" spans="1:7" ht="12.75">
      <c r="A202" s="1" t="s">
        <v>7</v>
      </c>
      <c r="B202" s="1" t="s">
        <v>8</v>
      </c>
      <c r="C202" s="1" t="s">
        <v>25</v>
      </c>
      <c r="D202" s="1">
        <v>107</v>
      </c>
      <c r="E202" s="1"/>
      <c r="F202" s="1" t="s">
        <v>24</v>
      </c>
      <c r="G202" s="1" t="str">
        <f>HYPERLINK("http://www.stromypodkontrolou.cz/map/?draw_selection_circle=1#%7B%22lat%22%3A%2049.6654517621877%2C%20%22lng%22%3A%2018.6729796498904%2C%20%22zoom%22%3A%2020%7D")</f>
        <v>http://www.stromypodkontrolou.cz/map/?draw_selection_circle=1#%7B%22lat%22%3A%2049.6654517621877%2C%20%22lng%22%3A%2018.6729796498904%2C%20%22zoom%22%3A%2020%7D</v>
      </c>
    </row>
    <row r="203" spans="1:7" ht="12.75">
      <c r="A203" s="1" t="s">
        <v>7</v>
      </c>
      <c r="B203" s="1" t="s">
        <v>8</v>
      </c>
      <c r="C203" s="1" t="s">
        <v>12</v>
      </c>
      <c r="D203" s="1">
        <v>106</v>
      </c>
      <c r="E203" s="1"/>
      <c r="F203" s="1" t="s">
        <v>70</v>
      </c>
      <c r="G203" s="1" t="str">
        <f>HYPERLINK("http://www.stromypodkontrolou.cz/map/?draw_selection_circle=1#%7B%22lat%22%3A%2049.6805796039705%2C%20%22lng%22%3A%2018.6800676653671%2C%20%22zoom%22%3A%2020%7D")</f>
        <v>http://www.stromypodkontrolou.cz/map/?draw_selection_circle=1#%7B%22lat%22%3A%2049.6805796039705%2C%20%22lng%22%3A%2018.6800676653671%2C%20%22zoom%22%3A%2020%7D</v>
      </c>
    </row>
    <row r="204" spans="1:7" ht="12.75">
      <c r="A204" s="1" t="s">
        <v>7</v>
      </c>
      <c r="B204" s="1" t="s">
        <v>8</v>
      </c>
      <c r="C204" s="1" t="s">
        <v>12</v>
      </c>
      <c r="D204" s="1">
        <v>142</v>
      </c>
      <c r="E204" s="1"/>
      <c r="F204" s="1" t="s">
        <v>27</v>
      </c>
      <c r="G204" s="1" t="str">
        <f>HYPERLINK("http://www.stromypodkontrolou.cz/map/?draw_selection_circle=1#%7B%22lat%22%3A%2049.6796114429708%2C%20%22lng%22%3A%2018.6796865601852%2C%20%22zoom%22%3A%2020%7D")</f>
        <v>http://www.stromypodkontrolou.cz/map/?draw_selection_circle=1#%7B%22lat%22%3A%2049.6796114429708%2C%20%22lng%22%3A%2018.6796865601852%2C%20%22zoom%22%3A%2020%7D</v>
      </c>
    </row>
    <row r="205" spans="1:7" ht="12.75">
      <c r="A205" s="1" t="s">
        <v>7</v>
      </c>
      <c r="B205" s="1" t="s">
        <v>8</v>
      </c>
      <c r="C205" s="1" t="s">
        <v>12</v>
      </c>
      <c r="D205" s="1">
        <v>146</v>
      </c>
      <c r="E205" s="1"/>
      <c r="F205" s="1" t="s">
        <v>41</v>
      </c>
      <c r="G205" s="1" t="str">
        <f>HYPERLINK("http://www.stromypodkontrolou.cz/map/?draw_selection_circle=1#%7B%22lat%22%3A%2049.6790980907324%2C%20%22lng%22%3A%2018.6803843081072%2C%20%22zoom%22%3A%2020%7D")</f>
        <v>http://www.stromypodkontrolou.cz/map/?draw_selection_circle=1#%7B%22lat%22%3A%2049.6790980907324%2C%20%22lng%22%3A%2018.6803843081072%2C%20%22zoom%22%3A%2020%7D</v>
      </c>
    </row>
    <row r="206" spans="1:7" ht="12.75">
      <c r="A206" s="1" t="s">
        <v>7</v>
      </c>
      <c r="B206" s="1" t="s">
        <v>8</v>
      </c>
      <c r="C206" s="1" t="s">
        <v>29</v>
      </c>
      <c r="D206" s="1">
        <v>9</v>
      </c>
      <c r="E206" s="1"/>
      <c r="F206" s="1" t="s">
        <v>57</v>
      </c>
      <c r="G206" s="1" t="str">
        <f>HYPERLINK("http://www.stromypodkontrolou.cz/map/?draw_selection_circle=1#%7B%22lat%22%3A%2049.6751465797183%2C%20%22lng%22%3A%2018.6685863184221%2C%20%22zoom%22%3A%2020%7D")</f>
        <v>http://www.stromypodkontrolou.cz/map/?draw_selection_circle=1#%7B%22lat%22%3A%2049.6751465797183%2C%20%22lng%22%3A%2018.6685863184221%2C%20%22zoom%22%3A%2020%7D</v>
      </c>
    </row>
    <row r="207" spans="1:7" ht="12.75">
      <c r="A207" s="1" t="s">
        <v>7</v>
      </c>
      <c r="B207" s="1" t="s">
        <v>8</v>
      </c>
      <c r="C207" s="1" t="s">
        <v>29</v>
      </c>
      <c r="D207" s="1">
        <v>7</v>
      </c>
      <c r="E207" s="1"/>
      <c r="F207" s="1" t="s">
        <v>104</v>
      </c>
      <c r="G207" s="1" t="str">
        <f>HYPERLINK("http://www.stromypodkontrolou.cz/map/?draw_selection_circle=1#%7B%22lat%22%3A%2049.6751490459074%2C%20%22lng%22%3A%2018.6682170686252%2C%20%22zoom%22%3A%2020%7D")</f>
        <v>http://www.stromypodkontrolou.cz/map/?draw_selection_circle=1#%7B%22lat%22%3A%2049.6751490459074%2C%20%22lng%22%3A%2018.6682170686252%2C%20%22zoom%22%3A%2020%7D</v>
      </c>
    </row>
    <row r="208" spans="1:7" ht="12.75">
      <c r="A208" s="1" t="s">
        <v>7</v>
      </c>
      <c r="B208" s="1" t="s">
        <v>8</v>
      </c>
      <c r="C208" s="1" t="s">
        <v>122</v>
      </c>
      <c r="D208" s="1">
        <v>35</v>
      </c>
      <c r="E208" s="1"/>
      <c r="F208" s="1" t="s">
        <v>108</v>
      </c>
      <c r="G208" s="1" t="str">
        <f>HYPERLINK("http://www.stromypodkontrolou.cz/map/?draw_selection_circle=1#%7B%22lat%22%3A%2049.6820535218418%2C%20%22lng%22%3A%2018.6739754018305%2C%20%22zoom%22%3A%2020%7D")</f>
        <v>http://www.stromypodkontrolou.cz/map/?draw_selection_circle=1#%7B%22lat%22%3A%2049.6820535218418%2C%20%22lng%22%3A%2018.6739754018305%2C%20%22zoom%22%3A%2020%7D</v>
      </c>
    </row>
    <row r="209" spans="1:7" ht="12.75">
      <c r="A209" s="1" t="s">
        <v>7</v>
      </c>
      <c r="B209" s="1" t="s">
        <v>8</v>
      </c>
      <c r="C209" s="1" t="s">
        <v>16</v>
      </c>
      <c r="D209" s="1">
        <v>67</v>
      </c>
      <c r="E209" s="1"/>
      <c r="F209" s="1" t="s">
        <v>17</v>
      </c>
      <c r="G209" s="1" t="str">
        <f>HYPERLINK("http://www.stromypodkontrolou.cz/map/?draw_selection_circle=1#%7B%22lat%22%3A%2049.6712341555608%2C%20%22lng%22%3A%2018.6698026176961%2C%20%22zoom%22%3A%2020%7D")</f>
        <v>http://www.stromypodkontrolou.cz/map/?draw_selection_circle=1#%7B%22lat%22%3A%2049.6712341555608%2C%20%22lng%22%3A%2018.6698026176961%2C%20%22zoom%22%3A%2020%7D</v>
      </c>
    </row>
    <row r="210" spans="1:7" ht="12.75">
      <c r="A210" s="1" t="s">
        <v>7</v>
      </c>
      <c r="B210" s="1" t="s">
        <v>8</v>
      </c>
      <c r="C210" s="1" t="s">
        <v>16</v>
      </c>
      <c r="D210" s="1">
        <v>68</v>
      </c>
      <c r="E210" s="1"/>
      <c r="F210" s="1" t="s">
        <v>17</v>
      </c>
      <c r="G210" s="1" t="str">
        <f>HYPERLINK("http://www.stromypodkontrolou.cz/map/?draw_selection_circle=1#%7B%22lat%22%3A%2049.671222210565%2C%20%22lng%22%3A%2018.6697341653391%2C%20%22zoom%22%3A%2020%7D")</f>
        <v>http://www.stromypodkontrolou.cz/map/?draw_selection_circle=1#%7B%22lat%22%3A%2049.671222210565%2C%20%22lng%22%3A%2018.6697341653391%2C%20%22zoom%22%3A%2020%7D</v>
      </c>
    </row>
    <row r="211" spans="1:7" ht="12.75">
      <c r="A211" s="1" t="s">
        <v>7</v>
      </c>
      <c r="B211" s="1" t="s">
        <v>8</v>
      </c>
      <c r="C211" s="1" t="s">
        <v>16</v>
      </c>
      <c r="D211" s="1">
        <v>52</v>
      </c>
      <c r="E211" s="1"/>
      <c r="F211" s="1" t="s">
        <v>21</v>
      </c>
      <c r="G211" s="1" t="str">
        <f>HYPERLINK("http://www.stromypodkontrolou.cz/map/?draw_selection_circle=1#%7B%22lat%22%3A%2049.6716952679558%2C%20%22lng%22%3A%2018.6705653997467%2C%20%22zoom%22%3A%2020%7D")</f>
        <v>http://www.stromypodkontrolou.cz/map/?draw_selection_circle=1#%7B%22lat%22%3A%2049.6716952679558%2C%20%22lng%22%3A%2018.6705653997467%2C%20%22zoom%22%3A%2020%7D</v>
      </c>
    </row>
    <row r="212" spans="1:7" ht="12.75">
      <c r="A212" s="1" t="s">
        <v>7</v>
      </c>
      <c r="B212" s="1" t="s">
        <v>8</v>
      </c>
      <c r="C212" s="1" t="s">
        <v>123</v>
      </c>
      <c r="D212" s="1">
        <v>26</v>
      </c>
      <c r="E212" s="1"/>
      <c r="F212" s="1" t="s">
        <v>24</v>
      </c>
      <c r="G212" s="1" t="str">
        <f>HYPERLINK("http://www.stromypodkontrolou.cz/map/?draw_selection_circle=1#%7B%22lat%22%3A%2049.6779723371%2C%20%22lng%22%3A%2018.6712173545%2C%20%22zoom%22%3A%2020%7D")</f>
        <v>http://www.stromypodkontrolou.cz/map/?draw_selection_circle=1#%7B%22lat%22%3A%2049.6779723371%2C%20%22lng%22%3A%2018.6712173545%2C%20%22zoom%22%3A%2020%7D</v>
      </c>
    </row>
    <row r="213" spans="1:7" ht="12.75">
      <c r="A213" s="1" t="s">
        <v>7</v>
      </c>
      <c r="B213" s="1" t="s">
        <v>8</v>
      </c>
      <c r="C213" s="1" t="s">
        <v>64</v>
      </c>
      <c r="D213" s="1">
        <v>85</v>
      </c>
      <c r="E213" s="1"/>
      <c r="F213" s="1" t="s">
        <v>108</v>
      </c>
      <c r="G213" s="1" t="str">
        <f>HYPERLINK("http://www.stromypodkontrolou.cz/map/?draw_selection_circle=1#%7B%22lat%22%3A%2049.6646403530428%2C%20%22lng%22%3A%2018.6869742028197%2C%20%22zoom%22%3A%2020%7D")</f>
        <v>http://www.stromypodkontrolou.cz/map/?draw_selection_circle=1#%7B%22lat%22%3A%2049.6646403530428%2C%20%22lng%22%3A%2018.6869742028197%2C%20%22zoom%22%3A%2020%7D</v>
      </c>
    </row>
    <row r="214" spans="1:7" ht="12.75">
      <c r="A214" s="1" t="s">
        <v>7</v>
      </c>
      <c r="B214" s="1" t="s">
        <v>8</v>
      </c>
      <c r="C214" s="1" t="s">
        <v>124</v>
      </c>
      <c r="D214" s="1">
        <v>19</v>
      </c>
      <c r="E214" s="1"/>
      <c r="F214" s="1" t="s">
        <v>28</v>
      </c>
      <c r="G214" s="1" t="str">
        <f>HYPERLINK("http://www.stromypodkontrolou.cz/map/?draw_selection_circle=1#%7B%22lat%22%3A%2049.663819187607%2C%20%22lng%22%3A%2018.6863341410798%2C%20%22zoom%22%3A%2020%7D")</f>
        <v>http://www.stromypodkontrolou.cz/map/?draw_selection_circle=1#%7B%22lat%22%3A%2049.663819187607%2C%20%22lng%22%3A%2018.6863341410798%2C%20%22zoom%22%3A%2020%7D</v>
      </c>
    </row>
    <row r="215" spans="1:7" ht="12.75">
      <c r="A215" s="1" t="s">
        <v>7</v>
      </c>
      <c r="B215" s="1" t="s">
        <v>8</v>
      </c>
      <c r="C215" s="1" t="s">
        <v>124</v>
      </c>
      <c r="D215" s="1">
        <v>16</v>
      </c>
      <c r="E215" s="1"/>
      <c r="F215" s="1" t="s">
        <v>67</v>
      </c>
      <c r="G215" s="1" t="str">
        <f>HYPERLINK("http://www.stromypodkontrolou.cz/map/?draw_selection_circle=1#%7B%22lat%22%3A%2049.6636972066741%2C%20%22lng%22%3A%2018.686244167917%2C%20%22zoom%22%3A%2020%7D")</f>
        <v>http://www.stromypodkontrolou.cz/map/?draw_selection_circle=1#%7B%22lat%22%3A%2049.6636972066741%2C%20%22lng%22%3A%2018.686244167917%2C%20%22zoom%22%3A%2020%7D</v>
      </c>
    </row>
    <row r="216" spans="1:7" ht="12.75">
      <c r="A216" s="1" t="s">
        <v>7</v>
      </c>
      <c r="B216" s="1" t="s">
        <v>8</v>
      </c>
      <c r="C216" s="1" t="s">
        <v>37</v>
      </c>
      <c r="D216" s="1">
        <v>52</v>
      </c>
      <c r="E216" s="1"/>
      <c r="F216" s="1" t="s">
        <v>125</v>
      </c>
      <c r="G216" s="1" t="str">
        <f>HYPERLINK("http://www.stromypodkontrolou.cz/map/?draw_selection_circle=1#%7B%22lat%22%3A%2049.6712686020962%2C%20%22lng%22%3A%2018.6787205890943%2C%20%22zoom%22%3A%2020%7D")</f>
        <v>http://www.stromypodkontrolou.cz/map/?draw_selection_circle=1#%7B%22lat%22%3A%2049.6712686020962%2C%20%22lng%22%3A%2018.6787205890943%2C%20%22zoom%22%3A%2020%7D</v>
      </c>
    </row>
    <row r="217" spans="1:7" ht="12.75">
      <c r="A217" s="1" t="s">
        <v>7</v>
      </c>
      <c r="B217" s="1" t="s">
        <v>8</v>
      </c>
      <c r="C217" s="1" t="s">
        <v>122</v>
      </c>
      <c r="D217" s="1">
        <v>36</v>
      </c>
      <c r="E217" s="1"/>
      <c r="F217" s="1" t="s">
        <v>108</v>
      </c>
      <c r="G217" s="1" t="str">
        <f>HYPERLINK("http://www.stromypodkontrolou.cz/map/?draw_selection_circle=1#%7B%22lat%22%3A%2049.6820457887549%2C%20%22lng%22%3A%2018.6739874076702%2C%20%22zoom%22%3A%2020%7D")</f>
        <v>http://www.stromypodkontrolou.cz/map/?draw_selection_circle=1#%7B%22lat%22%3A%2049.6820457887549%2C%20%22lng%22%3A%2018.6739874076702%2C%20%22zoom%22%3A%2020%7D</v>
      </c>
    </row>
    <row r="218" spans="1:7" ht="12.75">
      <c r="A218" s="1" t="s">
        <v>7</v>
      </c>
      <c r="B218" s="1" t="s">
        <v>8</v>
      </c>
      <c r="C218" s="1" t="s">
        <v>122</v>
      </c>
      <c r="D218" s="1">
        <v>40</v>
      </c>
      <c r="E218" s="1"/>
      <c r="F218" s="1" t="s">
        <v>108</v>
      </c>
      <c r="G218" s="1" t="str">
        <f>HYPERLINK("http://www.stromypodkontrolou.cz/map/?draw_selection_circle=1#%7B%22lat%22%3A%2049.6820291346%2C%20%22lng%22%3A%2018.6740575643%2C%20%22zoom%22%3A%2020%7D")</f>
        <v>http://www.stromypodkontrolou.cz/map/?draw_selection_circle=1#%7B%22lat%22%3A%2049.6820291346%2C%20%22lng%22%3A%2018.6740575643%2C%20%22zoom%22%3A%2020%7D</v>
      </c>
    </row>
    <row r="219" spans="1:7" ht="12.75">
      <c r="A219" s="1" t="s">
        <v>7</v>
      </c>
      <c r="B219" s="1" t="s">
        <v>8</v>
      </c>
      <c r="C219" s="1" t="s">
        <v>73</v>
      </c>
      <c r="D219" s="1">
        <v>157</v>
      </c>
      <c r="E219" s="1"/>
      <c r="F219" s="1" t="s">
        <v>14</v>
      </c>
      <c r="G219" s="1" t="str">
        <f>HYPERLINK("http://www.stromypodkontrolou.cz/map/?draw_selection_circle=1#%7B%22lat%22%3A%2049.663575622387%2C%20%22lng%22%3A%2018.6784134925797%2C%20%22zoom%22%3A%2020%7D")</f>
        <v>http://www.stromypodkontrolou.cz/map/?draw_selection_circle=1#%7B%22lat%22%3A%2049.663575622387%2C%20%22lng%22%3A%2018.6784134925797%2C%20%22zoom%22%3A%2020%7D</v>
      </c>
    </row>
    <row r="220" spans="1:7" ht="12.75">
      <c r="A220" s="1" t="s">
        <v>7</v>
      </c>
      <c r="B220" s="1" t="s">
        <v>8</v>
      </c>
      <c r="C220" s="1" t="s">
        <v>73</v>
      </c>
      <c r="D220" s="1">
        <v>214</v>
      </c>
      <c r="E220" s="1"/>
      <c r="F220" s="1" t="s">
        <v>21</v>
      </c>
      <c r="G220" s="1" t="str">
        <f>HYPERLINK("http://www.stromypodkontrolou.cz/map/?draw_selection_circle=1#%7B%22lat%22%3A%2049.6637318956999%2C%20%22lng%22%3A%2018.6796860793982%2C%20%22zoom%22%3A%2020%7D")</f>
        <v>http://www.stromypodkontrolou.cz/map/?draw_selection_circle=1#%7B%22lat%22%3A%2049.6637318956999%2C%20%22lng%22%3A%2018.6796860793982%2C%20%22zoom%22%3A%2020%7D</v>
      </c>
    </row>
    <row r="221" spans="1:7" ht="12.75">
      <c r="A221" s="1" t="s">
        <v>7</v>
      </c>
      <c r="B221" s="1" t="s">
        <v>8</v>
      </c>
      <c r="C221" s="1" t="s">
        <v>19</v>
      </c>
      <c r="D221" s="1">
        <v>14</v>
      </c>
      <c r="E221" s="1"/>
      <c r="F221" s="1" t="s">
        <v>21</v>
      </c>
      <c r="G221" s="1" t="str">
        <f>HYPERLINK("http://www.stromypodkontrolou.cz/map/?draw_selection_circle=1#%7B%22lat%22%3A%2049.6700050593945%2C%20%22lng%22%3A%2018.6620634361125%2C%20%22zoom%22%3A%2020%7D")</f>
        <v>http://www.stromypodkontrolou.cz/map/?draw_selection_circle=1#%7B%22lat%22%3A%2049.6700050593945%2C%20%22lng%22%3A%2018.6620634361125%2C%20%22zoom%22%3A%2020%7D</v>
      </c>
    </row>
    <row r="222" spans="1:7" ht="12.75">
      <c r="A222" s="1" t="s">
        <v>7</v>
      </c>
      <c r="B222" s="1" t="s">
        <v>8</v>
      </c>
      <c r="C222" s="1" t="s">
        <v>19</v>
      </c>
      <c r="D222" s="1">
        <v>30</v>
      </c>
      <c r="E222" s="1"/>
      <c r="F222" s="1" t="s">
        <v>14</v>
      </c>
      <c r="G222" s="1" t="str">
        <f>HYPERLINK("http://www.stromypodkontrolou.cz/map/?draw_selection_circle=1#%7B%22lat%22%3A%2049.6702034823%2C%20%22lng%22%3A%2018.6623625274%2C%20%22zoom%22%3A%2020%7D")</f>
        <v>http://www.stromypodkontrolou.cz/map/?draw_selection_circle=1#%7B%22lat%22%3A%2049.6702034823%2C%20%22lng%22%3A%2018.6623625274%2C%20%22zoom%22%3A%2020%7D</v>
      </c>
    </row>
    <row r="223" spans="1:7" ht="12.75">
      <c r="A223" s="1" t="s">
        <v>7</v>
      </c>
      <c r="B223" s="1" t="s">
        <v>8</v>
      </c>
      <c r="C223" s="1" t="s">
        <v>19</v>
      </c>
      <c r="D223" s="1">
        <v>29</v>
      </c>
      <c r="E223" s="1"/>
      <c r="F223" s="1" t="s">
        <v>14</v>
      </c>
      <c r="G223" s="1" t="str">
        <f>HYPERLINK("http://www.stromypodkontrolou.cz/map/?draw_selection_circle=1#%7B%22lat%22%3A%2049.6702161918%2C%20%22lng%22%3A%2018.6623718779%2C%20%22zoom%22%3A%2020%7D")</f>
        <v>http://www.stromypodkontrolou.cz/map/?draw_selection_circle=1#%7B%22lat%22%3A%2049.6702161918%2C%20%22lng%22%3A%2018.6623718779%2C%20%22zoom%22%3A%2020%7D</v>
      </c>
    </row>
    <row r="224" spans="1:7" ht="12.75">
      <c r="A224" s="1" t="s">
        <v>7</v>
      </c>
      <c r="B224" s="1" t="s">
        <v>8</v>
      </c>
      <c r="C224" s="1" t="s">
        <v>19</v>
      </c>
      <c r="D224" s="1">
        <v>38</v>
      </c>
      <c r="E224" s="1"/>
      <c r="F224" s="1" t="s">
        <v>14</v>
      </c>
      <c r="G224" s="1" t="str">
        <f>HYPERLINK("http://www.stromypodkontrolou.cz/map/?draw_selection_circle=1#%7B%22lat%22%3A%2049.6702632009%2C%20%22lng%22%3A%2018.6623963948%2C%20%22zoom%22%3A%2020%7D")</f>
        <v>http://www.stromypodkontrolou.cz/map/?draw_selection_circle=1#%7B%22lat%22%3A%2049.6702632009%2C%20%22lng%22%3A%2018.6623963948%2C%20%22zoom%22%3A%2020%7D</v>
      </c>
    </row>
    <row r="225" spans="1:7" ht="12.75">
      <c r="A225" s="1" t="s">
        <v>7</v>
      </c>
      <c r="B225" s="1" t="s">
        <v>8</v>
      </c>
      <c r="C225" s="1" t="s">
        <v>19</v>
      </c>
      <c r="D225" s="1">
        <v>40</v>
      </c>
      <c r="E225" s="1"/>
      <c r="F225" s="1" t="s">
        <v>14</v>
      </c>
      <c r="G225" s="1" t="str">
        <f>HYPERLINK("http://www.stromypodkontrolou.cz/map/?draw_selection_circle=1#%7B%22lat%22%3A%2049.6702745335239%2C%20%22lng%22%3A%2018.6624016888624%2C%20%22zoom%22%3A%2020%7D")</f>
        <v>http://www.stromypodkontrolou.cz/map/?draw_selection_circle=1#%7B%22lat%22%3A%2049.6702745335239%2C%20%22lng%22%3A%2018.6624016888624%2C%20%22zoom%22%3A%2020%7D</v>
      </c>
    </row>
    <row r="226" spans="1:7" ht="12.75">
      <c r="A226" s="1" t="s">
        <v>7</v>
      </c>
      <c r="B226" s="1" t="s">
        <v>8</v>
      </c>
      <c r="C226" s="1" t="s">
        <v>51</v>
      </c>
      <c r="D226" s="1">
        <v>6</v>
      </c>
      <c r="E226" s="1"/>
      <c r="F226" s="1" t="s">
        <v>21</v>
      </c>
      <c r="G226" s="1" t="str">
        <f>HYPERLINK("http://www.stromypodkontrolou.cz/map/?draw_selection_circle=1#%7B%22lat%22%3A%2049.6646403627581%2C%20%22lng%22%3A%2018.6833383705161%2C%20%22zoom%22%3A%2020%7D")</f>
        <v>http://www.stromypodkontrolou.cz/map/?draw_selection_circle=1#%7B%22lat%22%3A%2049.6646403627581%2C%20%22lng%22%3A%2018.6833383705161%2C%20%22zoom%22%3A%2020%7D</v>
      </c>
    </row>
    <row r="227" spans="1:7" ht="12.75">
      <c r="A227" s="1" t="s">
        <v>7</v>
      </c>
      <c r="B227" s="1" t="s">
        <v>8</v>
      </c>
      <c r="C227" s="1" t="s">
        <v>51</v>
      </c>
      <c r="D227" s="1">
        <v>4</v>
      </c>
      <c r="E227" s="1"/>
      <c r="F227" s="1" t="s">
        <v>14</v>
      </c>
      <c r="G227" s="1" t="str">
        <f>HYPERLINK("http://www.stromypodkontrolou.cz/map/?draw_selection_circle=1#%7B%22lat%22%3A%2049.6646731239%2C%20%22lng%22%3A%2018.6834170922%2C%20%22zoom%22%3A%2020%7D")</f>
        <v>http://www.stromypodkontrolou.cz/map/?draw_selection_circle=1#%7B%22lat%22%3A%2049.6646731239%2C%20%22lng%22%3A%2018.6834170922%2C%20%22zoom%22%3A%2020%7D</v>
      </c>
    </row>
    <row r="228" spans="1:7" ht="12.75">
      <c r="A228" s="1" t="s">
        <v>7</v>
      </c>
      <c r="B228" s="1" t="s">
        <v>8</v>
      </c>
      <c r="C228" s="1" t="s">
        <v>126</v>
      </c>
      <c r="D228" s="1">
        <v>5</v>
      </c>
      <c r="E228" s="1"/>
      <c r="F228" s="1" t="s">
        <v>31</v>
      </c>
      <c r="G228" s="1" t="str">
        <f>HYPERLINK("http://www.stromypodkontrolou.cz/map/?draw_selection_circle=1#%7B%22lat%22%3A%2049.670042063136%2C%20%22lng%22%3A%2018.681002696151%2C%20%22zoom%22%3A%2020%7D")</f>
        <v>http://www.stromypodkontrolou.cz/map/?draw_selection_circle=1#%7B%22lat%22%3A%2049.670042063136%2C%20%22lng%22%3A%2018.681002696151%2C%20%22zoom%22%3A%2020%7D</v>
      </c>
    </row>
    <row r="229" spans="1:7" ht="12.75">
      <c r="A229" s="1" t="s">
        <v>7</v>
      </c>
      <c r="B229" s="1" t="s">
        <v>8</v>
      </c>
      <c r="C229" s="1" t="s">
        <v>126</v>
      </c>
      <c r="D229" s="1">
        <v>4</v>
      </c>
      <c r="E229" s="1"/>
      <c r="F229" s="1" t="s">
        <v>31</v>
      </c>
      <c r="G229" s="1" t="str">
        <f>HYPERLINK("http://www.stromypodkontrolou.cz/map/?draw_selection_circle=1#%7B%22lat%22%3A%2049.6700286888538%2C%20%22lng%22%3A%2018.6810123753831%2C%20%22zoom%22%3A%2020%7D")</f>
        <v>http://www.stromypodkontrolou.cz/map/?draw_selection_circle=1#%7B%22lat%22%3A%2049.6700286888538%2C%20%22lng%22%3A%2018.6810123753831%2C%20%22zoom%22%3A%2020%7D</v>
      </c>
    </row>
    <row r="230" spans="1:7" ht="12.75">
      <c r="A230" s="1" t="s">
        <v>7</v>
      </c>
      <c r="B230" s="1" t="s">
        <v>8</v>
      </c>
      <c r="C230" s="1" t="s">
        <v>127</v>
      </c>
      <c r="D230" s="1">
        <v>1</v>
      </c>
      <c r="E230" s="1"/>
      <c r="F230" s="1" t="s">
        <v>21</v>
      </c>
      <c r="G230" s="1" t="str">
        <f>HYPERLINK("http://www.stromypodkontrolou.cz/map/?draw_selection_circle=1#%7B%22lat%22%3A%2049.6694701071%2C%20%22lng%22%3A%2018.6630011084%2C%20%22zoom%22%3A%2020%7D")</f>
        <v>http://www.stromypodkontrolou.cz/map/?draw_selection_circle=1#%7B%22lat%22%3A%2049.6694701071%2C%20%22lng%22%3A%2018.6630011084%2C%20%22zoom%22%3A%2020%7D</v>
      </c>
    </row>
    <row r="231" spans="1:7" ht="12.75">
      <c r="A231" s="1" t="s">
        <v>7</v>
      </c>
      <c r="B231" s="1" t="s">
        <v>8</v>
      </c>
      <c r="C231" s="1" t="s">
        <v>127</v>
      </c>
      <c r="D231" s="1">
        <v>2</v>
      </c>
      <c r="E231" s="1"/>
      <c r="F231" s="1" t="s">
        <v>21</v>
      </c>
      <c r="G231" s="1" t="str">
        <f>HYPERLINK("http://www.stromypodkontrolou.cz/map/?draw_selection_circle=1#%7B%22lat%22%3A%2049.6695054764%2C%20%22lng%22%3A%2018.6630148547%2C%20%22zoom%22%3A%2020%7D")</f>
        <v>http://www.stromypodkontrolou.cz/map/?draw_selection_circle=1#%7B%22lat%22%3A%2049.6695054764%2C%20%22lng%22%3A%2018.6630148547%2C%20%22zoom%22%3A%2020%7D</v>
      </c>
    </row>
    <row r="232" spans="1:7" ht="12.75">
      <c r="A232" s="1" t="s">
        <v>7</v>
      </c>
      <c r="B232" s="1" t="s">
        <v>8</v>
      </c>
      <c r="C232" s="1" t="s">
        <v>127</v>
      </c>
      <c r="D232" s="1">
        <v>4</v>
      </c>
      <c r="E232" s="1"/>
      <c r="F232" s="1" t="s">
        <v>21</v>
      </c>
      <c r="G232" s="1" t="str">
        <f>HYPERLINK("http://www.stromypodkontrolou.cz/map/?draw_selection_circle=1#%7B%22lat%22%3A%2049.6695747260585%2C%20%22lng%22%3A%2018.6630363939672%2C%20%22zoom%22%3A%2020%7D")</f>
        <v>http://www.stromypodkontrolou.cz/map/?draw_selection_circle=1#%7B%22lat%22%3A%2049.6695747260585%2C%20%22lng%22%3A%2018.6630363939672%2C%20%22zoom%22%3A%2020%7D</v>
      </c>
    </row>
    <row r="233" spans="1:7" ht="12.75">
      <c r="A233" s="1" t="s">
        <v>7</v>
      </c>
      <c r="B233" s="1" t="s">
        <v>8</v>
      </c>
      <c r="C233" s="1" t="s">
        <v>127</v>
      </c>
      <c r="D233" s="1">
        <v>5</v>
      </c>
      <c r="E233" s="1"/>
      <c r="F233" s="1" t="s">
        <v>21</v>
      </c>
      <c r="G233" s="1" t="str">
        <f>HYPERLINK("http://www.stromypodkontrolou.cz/map/?draw_selection_circle=1#%7B%22lat%22%3A%2049.6696193362045%2C%20%22lng%22%3A%2018.6630538324147%2C%20%22zoom%22%3A%2020%7D")</f>
        <v>http://www.stromypodkontrolou.cz/map/?draw_selection_circle=1#%7B%22lat%22%3A%2049.6696193362045%2C%20%22lng%22%3A%2018.6630538324147%2C%20%22zoom%22%3A%2020%7D</v>
      </c>
    </row>
    <row r="234" spans="1:7" ht="12.75">
      <c r="A234" s="1" t="s">
        <v>7</v>
      </c>
      <c r="B234" s="1" t="s">
        <v>8</v>
      </c>
      <c r="C234" s="1" t="s">
        <v>127</v>
      </c>
      <c r="D234" s="1">
        <v>6</v>
      </c>
      <c r="E234" s="1"/>
      <c r="F234" s="1" t="s">
        <v>21</v>
      </c>
      <c r="G234" s="1" t="str">
        <f>HYPERLINK("http://www.stromypodkontrolou.cz/map/?draw_selection_circle=1#%7B%22lat%22%3A%2049.6697292456%2C%20%22lng%22%3A%2018.6630859084%2C%20%22zoom%22%3A%2020%7D")</f>
        <v>http://www.stromypodkontrolou.cz/map/?draw_selection_circle=1#%7B%22lat%22%3A%2049.6697292456%2C%20%22lng%22%3A%2018.6630859084%2C%20%22zoom%22%3A%2020%7D</v>
      </c>
    </row>
    <row r="235" spans="1:7" ht="12.75">
      <c r="A235" s="1" t="s">
        <v>7</v>
      </c>
      <c r="B235" s="1" t="s">
        <v>8</v>
      </c>
      <c r="C235" s="1" t="s">
        <v>127</v>
      </c>
      <c r="D235" s="1">
        <v>7</v>
      </c>
      <c r="E235" s="1"/>
      <c r="F235" s="1" t="s">
        <v>21</v>
      </c>
      <c r="G235" s="1" t="str">
        <f>HYPERLINK("http://www.stromypodkontrolou.cz/map/?draw_selection_circle=1#%7B%22lat%22%3A%2049.6697611425854%2C%20%22lng%22%3A%2018.6630986886173%2C%20%22zoom%22%3A%2020%7D")</f>
        <v>http://www.stromypodkontrolou.cz/map/?draw_selection_circle=1#%7B%22lat%22%3A%2049.6697611425854%2C%20%22lng%22%3A%2018.6630986886173%2C%20%22zoom%22%3A%2020%7D</v>
      </c>
    </row>
    <row r="236" spans="1:7" ht="12.75">
      <c r="A236" s="1" t="s">
        <v>7</v>
      </c>
      <c r="B236" s="1" t="s">
        <v>8</v>
      </c>
      <c r="C236" s="1" t="s">
        <v>127</v>
      </c>
      <c r="D236" s="1">
        <v>10</v>
      </c>
      <c r="E236" s="1"/>
      <c r="F236" s="1" t="s">
        <v>21</v>
      </c>
      <c r="G236" s="1" t="str">
        <f>HYPERLINK("http://www.stromypodkontrolou.cz/map/?draw_selection_circle=1#%7B%22lat%22%3A%2049.6698840822587%2C%20%22lng%22%3A%2018.6631368776961%2C%20%22zoom%22%3A%2020%7D")</f>
        <v>http://www.stromypodkontrolou.cz/map/?draw_selection_circle=1#%7B%22lat%22%3A%2049.6698840822587%2C%20%22lng%22%3A%2018.6631368776961%2C%20%22zoom%22%3A%2020%7D</v>
      </c>
    </row>
    <row r="237" spans="1:7" ht="12.75">
      <c r="A237" s="1" t="s">
        <v>7</v>
      </c>
      <c r="B237" s="1" t="s">
        <v>8</v>
      </c>
      <c r="C237" s="1" t="s">
        <v>127</v>
      </c>
      <c r="D237" s="1">
        <v>11</v>
      </c>
      <c r="E237" s="1"/>
      <c r="F237" s="1" t="s">
        <v>21</v>
      </c>
      <c r="G237" s="1" t="str">
        <f>HYPERLINK("http://www.stromypodkontrolou.cz/map/?draw_selection_circle=1#%7B%22lat%22%3A%2049.6698993395821%2C%20%22lng%22%3A%2018.6631418821857%2C%20%22zoom%22%3A%2020%7D")</f>
        <v>http://www.stromypodkontrolou.cz/map/?draw_selection_circle=1#%7B%22lat%22%3A%2049.6698993395821%2C%20%22lng%22%3A%2018.6631418821857%2C%20%22zoom%22%3A%2020%7D</v>
      </c>
    </row>
    <row r="238" spans="1:7" ht="12.75">
      <c r="A238" s="1" t="s">
        <v>7</v>
      </c>
      <c r="B238" s="1" t="s">
        <v>8</v>
      </c>
      <c r="C238" s="1" t="s">
        <v>127</v>
      </c>
      <c r="D238" s="1">
        <v>12</v>
      </c>
      <c r="E238" s="1"/>
      <c r="F238" s="1" t="s">
        <v>21</v>
      </c>
      <c r="G238" s="1" t="str">
        <f>HYPERLINK("http://www.stromypodkontrolou.cz/map/?draw_selection_circle=1#%7B%22lat%22%3A%2049.6699105106833%2C%20%22lng%22%3A%2018.663145995571%2C%20%22zoom%22%3A%2020%7D")</f>
        <v>http://www.stromypodkontrolou.cz/map/?draw_selection_circle=1#%7B%22lat%22%3A%2049.6699105106833%2C%20%22lng%22%3A%2018.663145995571%2C%20%22zoom%22%3A%2020%7D</v>
      </c>
    </row>
    <row r="239" spans="1:7" ht="12.75">
      <c r="A239" s="1" t="s">
        <v>7</v>
      </c>
      <c r="B239" s="1" t="s">
        <v>8</v>
      </c>
      <c r="C239" s="1" t="s">
        <v>127</v>
      </c>
      <c r="D239" s="1">
        <v>13</v>
      </c>
      <c r="E239" s="1"/>
      <c r="F239" s="1" t="s">
        <v>21</v>
      </c>
      <c r="G239" s="1" t="str">
        <f>HYPERLINK("http://www.stromypodkontrolou.cz/map/?draw_selection_circle=1#%7B%22lat%22%3A%2049.6699298873492%2C%20%22lng%22%3A%2018.6631463868325%2C%20%22zoom%22%3A%2020%7D")</f>
        <v>http://www.stromypodkontrolou.cz/map/?draw_selection_circle=1#%7B%22lat%22%3A%2049.6699298873492%2C%20%22lng%22%3A%2018.6631463868325%2C%20%22zoom%22%3A%2020%7D</v>
      </c>
    </row>
    <row r="240" spans="1:7" ht="12.75">
      <c r="A240" s="1" t="s">
        <v>7</v>
      </c>
      <c r="B240" s="1" t="s">
        <v>8</v>
      </c>
      <c r="C240" s="1" t="s">
        <v>127</v>
      </c>
      <c r="D240" s="1">
        <v>14</v>
      </c>
      <c r="E240" s="1"/>
      <c r="F240" s="1" t="s">
        <v>21</v>
      </c>
      <c r="G240" s="1" t="str">
        <f>HYPERLINK("http://www.stromypodkontrolou.cz/map/?draw_selection_circle=1#%7B%22lat%22%3A%2049.6699530651876%2C%20%22lng%22%3A%2018.6631560765739%2C%20%22zoom%22%3A%2020%7D")</f>
        <v>http://www.stromypodkontrolou.cz/map/?draw_selection_circle=1#%7B%22lat%22%3A%2049.6699530651876%2C%20%22lng%22%3A%2018.6631560765739%2C%20%22zoom%22%3A%2020%7D</v>
      </c>
    </row>
    <row r="241" spans="1:7" ht="12.75">
      <c r="A241" s="1" t="s">
        <v>7</v>
      </c>
      <c r="B241" s="1" t="s">
        <v>8</v>
      </c>
      <c r="C241" s="1" t="s">
        <v>127</v>
      </c>
      <c r="D241" s="1">
        <v>15</v>
      </c>
      <c r="E241" s="1"/>
      <c r="F241" s="1" t="s">
        <v>21</v>
      </c>
      <c r="G241" s="1" t="str">
        <f>HYPERLINK("http://www.stromypodkontrolou.cz/map/?draw_selection_circle=1#%7B%22lat%22%3A%2049.6699832516728%2C%20%22lng%22%3A%2018.6631683003773%2C%20%22zoom%22%3A%2020%7D")</f>
        <v>http://www.stromypodkontrolou.cz/map/?draw_selection_circle=1#%7B%22lat%22%3A%2049.6699832516728%2C%20%22lng%22%3A%2018.6631683003773%2C%20%22zoom%22%3A%2020%7D</v>
      </c>
    </row>
    <row r="242" spans="1:7" ht="12.75">
      <c r="A242" s="1" t="s">
        <v>7</v>
      </c>
      <c r="B242" s="1" t="s">
        <v>8</v>
      </c>
      <c r="C242" s="1" t="s">
        <v>22</v>
      </c>
      <c r="D242" s="1">
        <v>236</v>
      </c>
      <c r="E242" s="1"/>
      <c r="F242" s="1" t="s">
        <v>24</v>
      </c>
      <c r="G242" s="1" t="str">
        <f>HYPERLINK("http://www.stromypodkontrolou.cz/map/?draw_selection_circle=1#%7B%22lat%22%3A%2049.6687698773197%2C%20%22lng%22%3A%2018.6709169777394%2C%20%22zoom%22%3A%2020%7D")</f>
        <v>http://www.stromypodkontrolou.cz/map/?draw_selection_circle=1#%7B%22lat%22%3A%2049.6687698773197%2C%20%22lng%22%3A%2018.6709169777394%2C%20%22zoom%22%3A%2020%7D</v>
      </c>
    </row>
    <row r="243" spans="1:7" ht="12.75">
      <c r="A243" s="1" t="s">
        <v>7</v>
      </c>
      <c r="B243" s="1" t="s">
        <v>8</v>
      </c>
      <c r="C243" s="1" t="s">
        <v>81</v>
      </c>
      <c r="D243" s="1">
        <v>318</v>
      </c>
      <c r="E243" s="1"/>
      <c r="F243" s="1" t="s">
        <v>21</v>
      </c>
      <c r="G243" s="1" t="str">
        <f>HYPERLINK("http://www.stromypodkontrolou.cz/map/?draw_selection_circle=1#%7B%22lat%22%3A%2049.6660541691618%2C%20%22lng%22%3A%2018.6769623654853%2C%20%22zoom%22%3A%2020%7D")</f>
        <v>http://www.stromypodkontrolou.cz/map/?draw_selection_circle=1#%7B%22lat%22%3A%2049.6660541691618%2C%20%22lng%22%3A%2018.6769623654853%2C%20%22zoom%22%3A%2020%7D</v>
      </c>
    </row>
    <row r="244" spans="1:7" ht="12.75">
      <c r="A244" s="1" t="s">
        <v>7</v>
      </c>
      <c r="B244" s="1" t="s">
        <v>8</v>
      </c>
      <c r="C244" s="1" t="s">
        <v>81</v>
      </c>
      <c r="D244" s="1">
        <v>381</v>
      </c>
      <c r="E244" s="1"/>
      <c r="F244" s="1" t="s">
        <v>23</v>
      </c>
      <c r="G244" s="1" t="str">
        <f>HYPERLINK("http://www.stromypodkontrolou.cz/map/?draw_selection_circle=1#%7B%22lat%22%3A%2049.6676698334539%2C%20%22lng%22%3A%2018.676418668097%2C%20%22zoom%22%3A%2020%7D")</f>
        <v>http://www.stromypodkontrolou.cz/map/?draw_selection_circle=1#%7B%22lat%22%3A%2049.6676698334539%2C%20%22lng%22%3A%2018.676418668097%2C%20%22zoom%22%3A%2020%7D</v>
      </c>
    </row>
    <row r="245" spans="1:7" ht="12.75">
      <c r="A245" s="1" t="s">
        <v>7</v>
      </c>
      <c r="B245" s="1" t="s">
        <v>8</v>
      </c>
      <c r="C245" s="1" t="s">
        <v>81</v>
      </c>
      <c r="D245" s="1">
        <v>368</v>
      </c>
      <c r="E245" s="1"/>
      <c r="F245" s="1" t="s">
        <v>30</v>
      </c>
      <c r="G245" s="1" t="str">
        <f>HYPERLINK("http://www.stromypodkontrolou.cz/map/?draw_selection_circle=1#%7B%22lat%22%3A%2049.6679808892763%2C%20%22lng%22%3A%2018.676709561577%2C%20%22zoom%22%3A%2020%7D")</f>
        <v>http://www.stromypodkontrolou.cz/map/?draw_selection_circle=1#%7B%22lat%22%3A%2049.6679808892763%2C%20%22lng%22%3A%2018.676709561577%2C%20%22zoom%22%3A%2020%7D</v>
      </c>
    </row>
    <row r="246" spans="1:7" ht="12.75">
      <c r="A246" s="1" t="s">
        <v>7</v>
      </c>
      <c r="B246" s="1" t="s">
        <v>8</v>
      </c>
      <c r="C246" s="1" t="s">
        <v>12</v>
      </c>
      <c r="D246" s="1">
        <v>208</v>
      </c>
      <c r="E246" s="1"/>
      <c r="F246" s="1" t="s">
        <v>128</v>
      </c>
      <c r="G246" s="1" t="str">
        <f>HYPERLINK("http://www.stromypodkontrolou.cz/map/?draw_selection_circle=1#%7B%22lat%22%3A%2049.6795051500899%2C%20%22lng%22%3A%2018.6822948497575%2C%20%22zoom%22%3A%2020%7D")</f>
        <v>http://www.stromypodkontrolou.cz/map/?draw_selection_circle=1#%7B%22lat%22%3A%2049.6795051500899%2C%20%22lng%22%3A%2018.6822948497575%2C%20%22zoom%22%3A%2020%7D</v>
      </c>
    </row>
    <row r="247" spans="1:7" ht="12.75">
      <c r="A247" s="1" t="s">
        <v>7</v>
      </c>
      <c r="B247" s="1" t="s">
        <v>8</v>
      </c>
      <c r="C247" s="1" t="s">
        <v>12</v>
      </c>
      <c r="D247" s="1">
        <v>206</v>
      </c>
      <c r="E247" s="1"/>
      <c r="F247" s="1" t="s">
        <v>128</v>
      </c>
      <c r="G247" s="1" t="str">
        <f>HYPERLINK("http://www.stromypodkontrolou.cz/map/?draw_selection_circle=1#%7B%22lat%22%3A%2049.6794856592298%2C%20%22lng%22%3A%2018.6823561713519%2C%20%22zoom%22%3A%2020%7D")</f>
        <v>http://www.stromypodkontrolou.cz/map/?draw_selection_circle=1#%7B%22lat%22%3A%2049.6794856592298%2C%20%22lng%22%3A%2018.6823561713519%2C%20%22zoom%22%3A%2020%7D</v>
      </c>
    </row>
    <row r="248" spans="1:7" ht="12.75">
      <c r="A248" s="1" t="s">
        <v>7</v>
      </c>
      <c r="B248" s="1" t="s">
        <v>8</v>
      </c>
      <c r="C248" s="1" t="s">
        <v>12</v>
      </c>
      <c r="D248" s="1">
        <v>327</v>
      </c>
      <c r="E248" s="1"/>
      <c r="F248" s="1" t="s">
        <v>30</v>
      </c>
      <c r="G248" s="1" t="str">
        <f>HYPERLINK("http://www.stromypodkontrolou.cz/map/?draw_selection_circle=1#%7B%22lat%22%3A%2049.6780706193%2C%20%22lng%22%3A%2018.6858248585%2C%20%22zoom%22%3A%2020%7D")</f>
        <v>http://www.stromypodkontrolou.cz/map/?draw_selection_circle=1#%7B%22lat%22%3A%2049.6780706193%2C%20%22lng%22%3A%2018.6858248585%2C%20%22zoom%22%3A%2020%7D</v>
      </c>
    </row>
    <row r="249" spans="1:7" ht="12.75">
      <c r="A249" s="1" t="s">
        <v>7</v>
      </c>
      <c r="B249" s="1" t="s">
        <v>8</v>
      </c>
      <c r="C249" s="1" t="s">
        <v>12</v>
      </c>
      <c r="D249" s="1">
        <v>364</v>
      </c>
      <c r="E249" s="1"/>
      <c r="F249" s="1" t="s">
        <v>30</v>
      </c>
      <c r="G249" s="1" t="str">
        <f>HYPERLINK("http://www.stromypodkontrolou.cz/map/?draw_selection_circle=1#%7B%22lat%22%3A%2049.678168164987%2C%20%22lng%22%3A%2018.685860062705%2C%20%22zoom%22%3A%2020%7D")</f>
        <v>http://www.stromypodkontrolou.cz/map/?draw_selection_circle=1#%7B%22lat%22%3A%2049.678168164987%2C%20%22lng%22%3A%2018.685860062705%2C%20%22zoom%22%3A%2020%7D</v>
      </c>
    </row>
    <row r="250" spans="1:7" ht="12.75">
      <c r="A250" s="1" t="s">
        <v>7</v>
      </c>
      <c r="B250" s="1" t="s">
        <v>8</v>
      </c>
      <c r="C250" s="1" t="s">
        <v>12</v>
      </c>
      <c r="D250" s="1">
        <v>289</v>
      </c>
      <c r="E250" s="1"/>
      <c r="F250" s="1" t="s">
        <v>24</v>
      </c>
      <c r="G250" s="1" t="str">
        <f>HYPERLINK("http://www.stromypodkontrolou.cz/map/?draw_selection_circle=1#%7B%22lat%22%3A%2049.6760474371355%2C%20%22lng%22%3A%2018.6866397246812%2C%20%22zoom%22%3A%2020%7D")</f>
        <v>http://www.stromypodkontrolou.cz/map/?draw_selection_circle=1#%7B%22lat%22%3A%2049.6760474371355%2C%20%22lng%22%3A%2018.6866397246812%2C%20%22zoom%22%3A%2020%7D</v>
      </c>
    </row>
    <row r="251" spans="1:7" ht="12.75">
      <c r="A251" s="1" t="s">
        <v>7</v>
      </c>
      <c r="B251" s="1" t="s">
        <v>8</v>
      </c>
      <c r="C251" s="1" t="s">
        <v>12</v>
      </c>
      <c r="D251" s="1">
        <v>212</v>
      </c>
      <c r="E251" s="1"/>
      <c r="F251" s="1" t="s">
        <v>128</v>
      </c>
      <c r="G251" s="1" t="str">
        <f>HYPERLINK("http://www.stromypodkontrolou.cz/map/?draw_selection_circle=1#%7B%22lat%22%3A%2049.6795493160947%2C%20%22lng%22%3A%2018.6822028557304%2C%20%22zoom%22%3A%2020%7D")</f>
        <v>http://www.stromypodkontrolou.cz/map/?draw_selection_circle=1#%7B%22lat%22%3A%2049.6795493160947%2C%20%22lng%22%3A%2018.6822028557304%2C%20%22zoom%22%3A%2020%7D</v>
      </c>
    </row>
    <row r="252" spans="1:7" ht="12.75">
      <c r="A252" s="1" t="s">
        <v>7</v>
      </c>
      <c r="B252" s="1" t="s">
        <v>8</v>
      </c>
      <c r="C252" s="1" t="s">
        <v>12</v>
      </c>
      <c r="D252" s="1">
        <v>209</v>
      </c>
      <c r="E252" s="1"/>
      <c r="F252" s="1" t="s">
        <v>129</v>
      </c>
      <c r="G252" s="1" t="str">
        <f>HYPERLINK("http://www.stromypodkontrolou.cz/map/?draw_selection_circle=1#%7B%22lat%22%3A%2049.6795182445098%2C%20%22lng%22%3A%2018.6822711363833%2C%20%22zoom%22%3A%2020%7D")</f>
        <v>http://www.stromypodkontrolou.cz/map/?draw_selection_circle=1#%7B%22lat%22%3A%2049.6795182445098%2C%20%22lng%22%3A%2018.6822711363833%2C%20%22zoom%22%3A%2020%7D</v>
      </c>
    </row>
    <row r="253" spans="1:7" ht="12.75">
      <c r="A253" s="1" t="s">
        <v>7</v>
      </c>
      <c r="B253" s="1" t="s">
        <v>8</v>
      </c>
      <c r="C253" s="1" t="s">
        <v>12</v>
      </c>
      <c r="D253" s="1">
        <v>360</v>
      </c>
      <c r="E253" s="1"/>
      <c r="F253" s="1" t="s">
        <v>30</v>
      </c>
      <c r="G253" s="1" t="str">
        <f>HYPERLINK("http://www.stromypodkontrolou.cz/map/?draw_selection_circle=1#%7B%22lat%22%3A%2049.6782950455%2C%20%22lng%22%3A%2018.6855682049%2C%20%22zoom%22%3A%2020%7D")</f>
        <v>http://www.stromypodkontrolou.cz/map/?draw_selection_circle=1#%7B%22lat%22%3A%2049.6782950455%2C%20%22lng%22%3A%2018.6855682049%2C%20%22zoom%22%3A%2020%7D</v>
      </c>
    </row>
    <row r="254" spans="1:7" ht="12.75">
      <c r="A254" s="1" t="s">
        <v>7</v>
      </c>
      <c r="B254" s="1" t="s">
        <v>8</v>
      </c>
      <c r="C254" s="1" t="s">
        <v>26</v>
      </c>
      <c r="D254" s="1">
        <v>81</v>
      </c>
      <c r="E254" s="1"/>
      <c r="F254" s="1" t="s">
        <v>130</v>
      </c>
      <c r="G254" s="1" t="str">
        <f>HYPERLINK("http://www.stromypodkontrolou.cz/map/?draw_selection_circle=1#%7B%22lat%22%3A%2049.6643848403953%2C%20%22lng%22%3A%2018.6755314170667%2C%20%22zoom%22%3A%2020%7D")</f>
        <v>http://www.stromypodkontrolou.cz/map/?draw_selection_circle=1#%7B%22lat%22%3A%2049.6643848403953%2C%20%22lng%22%3A%2018.6755314170667%2C%20%22zoom%22%3A%2020%7D</v>
      </c>
    </row>
    <row r="255" spans="1:7" ht="12.75">
      <c r="A255" s="1" t="s">
        <v>7</v>
      </c>
      <c r="B255" s="1" t="s">
        <v>8</v>
      </c>
      <c r="C255" s="1" t="s">
        <v>26</v>
      </c>
      <c r="D255" s="1">
        <v>82</v>
      </c>
      <c r="E255" s="1"/>
      <c r="F255" s="1" t="s">
        <v>44</v>
      </c>
      <c r="G255" s="1" t="str">
        <f>HYPERLINK("http://www.stromypodkontrolou.cz/map/?draw_selection_circle=1#%7B%22lat%22%3A%2049.6644032896194%2C%20%22lng%22%3A%2018.6756100944186%2C%20%22zoom%22%3A%2020%7D")</f>
        <v>http://www.stromypodkontrolou.cz/map/?draw_selection_circle=1#%7B%22lat%22%3A%2049.6644032896194%2C%20%22lng%22%3A%2018.6756100944186%2C%20%22zoom%22%3A%2020%7D</v>
      </c>
    </row>
    <row r="256" spans="1:7" ht="12.75">
      <c r="A256" s="1" t="s">
        <v>7</v>
      </c>
      <c r="B256" s="1" t="s">
        <v>8</v>
      </c>
      <c r="C256" s="1" t="s">
        <v>38</v>
      </c>
      <c r="D256" s="1">
        <v>82</v>
      </c>
      <c r="E256" s="1"/>
      <c r="F256" s="1" t="s">
        <v>21</v>
      </c>
      <c r="G256" s="1" t="str">
        <f>HYPERLINK("http://www.stromypodkontrolou.cz/map/?draw_selection_circle=1#%7B%22lat%22%3A%2049.6623672498866%2C%20%22lng%22%3A%2018.6778368191199%2C%20%22zoom%22%3A%2020%7D")</f>
        <v>http://www.stromypodkontrolou.cz/map/?draw_selection_circle=1#%7B%22lat%22%3A%2049.6623672498866%2C%20%22lng%22%3A%2018.6778368191199%2C%20%22zoom%22%3A%2020%7D</v>
      </c>
    </row>
    <row r="257" spans="1:7" ht="12.75">
      <c r="A257" s="1" t="s">
        <v>7</v>
      </c>
      <c r="B257" s="1" t="s">
        <v>8</v>
      </c>
      <c r="C257" s="1" t="s">
        <v>38</v>
      </c>
      <c r="D257" s="1">
        <v>73</v>
      </c>
      <c r="E257" s="1"/>
      <c r="F257" s="1" t="s">
        <v>21</v>
      </c>
      <c r="G257" s="1" t="str">
        <f>HYPERLINK("http://www.stromypodkontrolou.cz/map/?draw_selection_circle=1#%7B%22lat%22%3A%2049.6624778308006%2C%20%22lng%22%3A%2018.6777586906598%2C%20%22zoom%22%3A%2020%7D")</f>
        <v>http://www.stromypodkontrolou.cz/map/?draw_selection_circle=1#%7B%22lat%22%3A%2049.6624778308006%2C%20%22lng%22%3A%2018.6777586906598%2C%20%22zoom%22%3A%2020%7D</v>
      </c>
    </row>
    <row r="258" spans="1:7" ht="12.75">
      <c r="A258" s="1" t="s">
        <v>7</v>
      </c>
      <c r="B258" s="1" t="s">
        <v>8</v>
      </c>
      <c r="C258" s="1" t="s">
        <v>38</v>
      </c>
      <c r="D258" s="1">
        <v>77</v>
      </c>
      <c r="E258" s="1"/>
      <c r="F258" s="1" t="s">
        <v>21</v>
      </c>
      <c r="G258" s="1" t="str">
        <f>HYPERLINK("http://www.stromypodkontrolou.cz/map/?draw_selection_circle=1#%7B%22lat%22%3A%2049.6624383026449%2C%20%22lng%22%3A%2018.677802238964%2C%20%22zoom%22%3A%2020%7D")</f>
        <v>http://www.stromypodkontrolou.cz/map/?draw_selection_circle=1#%7B%22lat%22%3A%2049.6624383026449%2C%20%22lng%22%3A%2018.677802238964%2C%20%22zoom%22%3A%2020%7D</v>
      </c>
    </row>
    <row r="259" spans="1:7" ht="12.75">
      <c r="A259" s="1" t="s">
        <v>7</v>
      </c>
      <c r="B259" s="1" t="s">
        <v>8</v>
      </c>
      <c r="C259" s="1" t="s">
        <v>38</v>
      </c>
      <c r="D259" s="1">
        <v>74</v>
      </c>
      <c r="E259" s="1"/>
      <c r="F259" s="1" t="s">
        <v>21</v>
      </c>
      <c r="G259" s="1" t="str">
        <f>HYPERLINK("http://www.stromypodkontrolou.cz/map/?draw_selection_circle=1#%7B%22lat%22%3A%2049.6624614528299%2C%20%22lng%22%3A%2018.6776282356522%2C%20%22zoom%22%3A%2020%7D")</f>
        <v>http://www.stromypodkontrolou.cz/map/?draw_selection_circle=1#%7B%22lat%22%3A%2049.6624614528299%2C%20%22lng%22%3A%2018.6776282356522%2C%20%22zoom%22%3A%2020%7D</v>
      </c>
    </row>
    <row r="260" spans="1:7" ht="12.75">
      <c r="A260" s="1" t="s">
        <v>7</v>
      </c>
      <c r="B260" s="1" t="s">
        <v>8</v>
      </c>
      <c r="C260" s="1" t="s">
        <v>38</v>
      </c>
      <c r="D260" s="1">
        <v>71</v>
      </c>
      <c r="E260" s="1"/>
      <c r="F260" s="1" t="s">
        <v>21</v>
      </c>
      <c r="G260" s="1" t="str">
        <f>HYPERLINK("http://www.stromypodkontrolou.cz/map/?draw_selection_circle=1#%7B%22lat%22%3A%2049.6625106939282%2C%20%22lng%22%3A%2018.677793254113%2C%20%22zoom%22%3A%2020%7D")</f>
        <v>http://www.stromypodkontrolou.cz/map/?draw_selection_circle=1#%7B%22lat%22%3A%2049.6625106939282%2C%20%22lng%22%3A%2018.677793254113%2C%20%22zoom%22%3A%2020%7D</v>
      </c>
    </row>
    <row r="261" spans="1:7" ht="12.75">
      <c r="A261" s="1" t="s">
        <v>7</v>
      </c>
      <c r="B261" s="1" t="s">
        <v>8</v>
      </c>
      <c r="C261" s="1" t="s">
        <v>43</v>
      </c>
      <c r="D261" s="1">
        <v>19</v>
      </c>
      <c r="E261" s="1"/>
      <c r="F261" s="1" t="s">
        <v>24</v>
      </c>
      <c r="G261" s="1" t="str">
        <f>HYPERLINK("http://www.stromypodkontrolou.cz/map/?draw_selection_circle=1#%7B%22lat%22%3A%2049.6745339207919%2C%20%22lng%22%3A%2018.6707316677345%2C%20%22zoom%22%3A%2020%7D")</f>
        <v>http://www.stromypodkontrolou.cz/map/?draw_selection_circle=1#%7B%22lat%22%3A%2049.6745339207919%2C%20%22lng%22%3A%2018.6707316677345%2C%20%22zoom%22%3A%2020%7D</v>
      </c>
    </row>
    <row r="262" spans="1:7" ht="12.75">
      <c r="A262" s="1" t="s">
        <v>7</v>
      </c>
      <c r="B262" s="1" t="s">
        <v>8</v>
      </c>
      <c r="C262" s="1" t="s">
        <v>43</v>
      </c>
      <c r="D262" s="1">
        <v>20</v>
      </c>
      <c r="E262" s="1"/>
      <c r="F262" s="1" t="s">
        <v>24</v>
      </c>
      <c r="G262" s="1" t="str">
        <f>HYPERLINK("http://www.stromypodkontrolou.cz/map/?draw_selection_circle=1#%7B%22lat%22%3A%2049.6745497569105%2C%20%22lng%22%3A%2018.6707425319538%2C%20%22zoom%22%3A%2020%7D")</f>
        <v>http://www.stromypodkontrolou.cz/map/?draw_selection_circle=1#%7B%22lat%22%3A%2049.6745497569105%2C%20%22lng%22%3A%2018.6707425319538%2C%20%22zoom%22%3A%2020%7D</v>
      </c>
    </row>
    <row r="263" spans="1:7" ht="12.75">
      <c r="A263" s="1" t="s">
        <v>7</v>
      </c>
      <c r="B263" s="1" t="s">
        <v>8</v>
      </c>
      <c r="C263" s="1" t="s">
        <v>43</v>
      </c>
      <c r="D263" s="1">
        <v>146</v>
      </c>
      <c r="E263" s="1"/>
      <c r="F263" s="1" t="s">
        <v>11</v>
      </c>
      <c r="G263" s="1" t="str">
        <f>HYPERLINK("http://www.stromypodkontrolou.cz/map/?draw_selection_circle=1#%7B%22lat%22%3A%2049.67383816901%2C%20%22lng%22%3A%2018.6701011676954%2C%20%22zoom%22%3A%2020%7D")</f>
        <v>http://www.stromypodkontrolou.cz/map/?draw_selection_circle=1#%7B%22lat%22%3A%2049.67383816901%2C%20%22lng%22%3A%2018.6701011676954%2C%20%22zoom%22%3A%2020%7D</v>
      </c>
    </row>
    <row r="264" spans="1:7" ht="12.75">
      <c r="A264" s="1" t="s">
        <v>7</v>
      </c>
      <c r="B264" s="1" t="s">
        <v>8</v>
      </c>
      <c r="C264" s="1" t="s">
        <v>73</v>
      </c>
      <c r="D264" s="1">
        <v>93</v>
      </c>
      <c r="E264" s="1"/>
      <c r="F264" s="1" t="s">
        <v>92</v>
      </c>
      <c r="G264" s="1" t="str">
        <f>HYPERLINK("http://www.stromypodkontrolou.cz/map/?draw_selection_circle=1#%7B%22lat%22%3A%2049.6633424247919%2C%20%22lng%22%3A%2018.6764440880386%2C%20%22zoom%22%3A%2020%7D")</f>
        <v>http://www.stromypodkontrolou.cz/map/?draw_selection_circle=1#%7B%22lat%22%3A%2049.6633424247919%2C%20%22lng%22%3A%2018.6764440880386%2C%20%22zoom%22%3A%2020%7D</v>
      </c>
    </row>
    <row r="265" spans="1:7" ht="12.75">
      <c r="A265" s="1" t="s">
        <v>7</v>
      </c>
      <c r="B265" s="1" t="s">
        <v>8</v>
      </c>
      <c r="C265" s="1" t="s">
        <v>73</v>
      </c>
      <c r="D265" s="1">
        <v>121</v>
      </c>
      <c r="E265" s="1"/>
      <c r="F265" s="1" t="s">
        <v>131</v>
      </c>
      <c r="G265" s="1" t="str">
        <f>HYPERLINK("http://www.stromypodkontrolou.cz/map/?draw_selection_circle=1#%7B%22lat%22%3A%2049.6633447115571%2C%20%22lng%22%3A%2018.6762137861958%2C%20%22zoom%22%3A%2020%7D")</f>
        <v>http://www.stromypodkontrolou.cz/map/?draw_selection_circle=1#%7B%22lat%22%3A%2049.6633447115571%2C%20%22lng%22%3A%2018.6762137861958%2C%20%22zoom%22%3A%2020%7D</v>
      </c>
    </row>
    <row r="266" spans="1:7" ht="12.75">
      <c r="A266" s="1" t="s">
        <v>7</v>
      </c>
      <c r="B266" s="1" t="s">
        <v>8</v>
      </c>
      <c r="C266" s="1" t="s">
        <v>73</v>
      </c>
      <c r="D266" s="1">
        <v>144</v>
      </c>
      <c r="E266" s="1"/>
      <c r="F266" s="1" t="s">
        <v>11</v>
      </c>
      <c r="G266" s="1" t="str">
        <f>HYPERLINK("http://www.stromypodkontrolou.cz/map/?draw_selection_circle=1#%7B%22lat%22%3A%2049.6630978482316%2C%20%22lng%22%3A%2018.6786991645705%2C%20%22zoom%22%3A%2020%7D")</f>
        <v>http://www.stromypodkontrolou.cz/map/?draw_selection_circle=1#%7B%22lat%22%3A%2049.6630978482316%2C%20%22lng%22%3A%2018.6786991645705%2C%20%22zoom%22%3A%2020%7D</v>
      </c>
    </row>
    <row r="267" spans="1:7" ht="12.75">
      <c r="A267" s="1" t="s">
        <v>7</v>
      </c>
      <c r="B267" s="1" t="s">
        <v>8</v>
      </c>
      <c r="C267" s="1" t="s">
        <v>73</v>
      </c>
      <c r="D267" s="1">
        <v>113</v>
      </c>
      <c r="E267" s="1"/>
      <c r="F267" s="1" t="s">
        <v>21</v>
      </c>
      <c r="G267" s="1" t="str">
        <f>HYPERLINK("http://www.stromypodkontrolou.cz/map/?draw_selection_circle=1#%7B%22lat%22%3A%2049.6637037892368%2C%20%22lng%22%3A%2018.6772170305312%2C%20%22zoom%22%3A%2020%7D")</f>
        <v>http://www.stromypodkontrolou.cz/map/?draw_selection_circle=1#%7B%22lat%22%3A%2049.6637037892368%2C%20%22lng%22%3A%2018.6772170305312%2C%20%22zoom%22%3A%2020%7D</v>
      </c>
    </row>
    <row r="268" spans="1:7" ht="12.75">
      <c r="A268" s="1" t="s">
        <v>7</v>
      </c>
      <c r="B268" s="1" t="s">
        <v>8</v>
      </c>
      <c r="C268" s="1" t="s">
        <v>73</v>
      </c>
      <c r="D268" s="1">
        <v>43</v>
      </c>
      <c r="E268" s="1"/>
      <c r="F268" s="1" t="s">
        <v>21</v>
      </c>
      <c r="G268" s="1" t="str">
        <f>HYPERLINK("http://www.stromypodkontrolou.cz/map/?draw_selection_circle=1#%7B%22lat%22%3A%2049.6643765414718%2C%20%22lng%22%3A%2018.6769054425579%2C%20%22zoom%22%3A%2020%7D")</f>
        <v>http://www.stromypodkontrolou.cz/map/?draw_selection_circle=1#%7B%22lat%22%3A%2049.6643765414718%2C%20%22lng%22%3A%2018.6769054425579%2C%20%22zoom%22%3A%2020%7D</v>
      </c>
    </row>
    <row r="269" spans="1:7" ht="12.75">
      <c r="A269" s="1" t="s">
        <v>7</v>
      </c>
      <c r="B269" s="1" t="s">
        <v>8</v>
      </c>
      <c r="C269" s="1" t="s">
        <v>73</v>
      </c>
      <c r="D269" s="1">
        <v>161</v>
      </c>
      <c r="E269" s="1"/>
      <c r="F269" s="1" t="s">
        <v>65</v>
      </c>
      <c r="G269" s="1" t="str">
        <f>HYPERLINK("http://www.stromypodkontrolou.cz/map/?draw_selection_circle=1#%7B%22lat%22%3A%2049.6637293418538%2C%20%22lng%22%3A%2018.6784293780398%2C%20%22zoom%22%3A%2020%7D")</f>
        <v>http://www.stromypodkontrolou.cz/map/?draw_selection_circle=1#%7B%22lat%22%3A%2049.6637293418538%2C%20%22lng%22%3A%2018.6784293780398%2C%20%22zoom%22%3A%2020%7D</v>
      </c>
    </row>
    <row r="270" spans="1:7" ht="12.75">
      <c r="A270" s="1" t="s">
        <v>7</v>
      </c>
      <c r="B270" s="1" t="s">
        <v>8</v>
      </c>
      <c r="C270" s="1" t="s">
        <v>73</v>
      </c>
      <c r="D270" s="1">
        <v>160</v>
      </c>
      <c r="E270" s="1"/>
      <c r="F270" s="1" t="s">
        <v>65</v>
      </c>
      <c r="G270" s="1" t="str">
        <f>HYPERLINK("http://www.stromypodkontrolou.cz/map/?draw_selection_circle=1#%7B%22lat%22%3A%2049.6636683960363%2C%20%22lng%22%3A%2018.678451662942%2C%20%22zoom%22%3A%2020%7D")</f>
        <v>http://www.stromypodkontrolou.cz/map/?draw_selection_circle=1#%7B%22lat%22%3A%2049.6636683960363%2C%20%22lng%22%3A%2018.678451662942%2C%20%22zoom%22%3A%2020%7D</v>
      </c>
    </row>
    <row r="271" spans="1:7" ht="12.75">
      <c r="A271" s="1" t="s">
        <v>7</v>
      </c>
      <c r="B271" s="1" t="s">
        <v>8</v>
      </c>
      <c r="C271" s="1" t="s">
        <v>73</v>
      </c>
      <c r="D271" s="1">
        <v>171</v>
      </c>
      <c r="E271" s="1"/>
      <c r="F271" s="1" t="s">
        <v>21</v>
      </c>
      <c r="G271" s="1" t="str">
        <f>HYPERLINK("http://www.stromypodkontrolou.cz/map/?draw_selection_circle=1#%7B%22lat%22%3A%2049.6638449907%2C%20%22lng%22%3A%2018.6788410952%2C%20%22zoom%22%3A%2020%7D")</f>
        <v>http://www.stromypodkontrolou.cz/map/?draw_selection_circle=1#%7B%22lat%22%3A%2049.6638449907%2C%20%22lng%22%3A%2018.6788410952%2C%20%22zoom%22%3A%2020%7D</v>
      </c>
    </row>
    <row r="272" spans="1:7" ht="12.75">
      <c r="A272" s="1" t="s">
        <v>7</v>
      </c>
      <c r="B272" s="1" t="s">
        <v>8</v>
      </c>
      <c r="C272" s="1" t="s">
        <v>107</v>
      </c>
      <c r="D272" s="1">
        <v>22</v>
      </c>
      <c r="E272" s="1"/>
      <c r="F272" s="1" t="s">
        <v>114</v>
      </c>
      <c r="G272" s="1" t="str">
        <f>HYPERLINK("http://www.stromypodkontrolou.cz/map/?draw_selection_circle=1#%7B%22lat%22%3A%2049.6601661859624%2C%20%22lng%22%3A%2018.6716610961846%2C%20%22zoom%22%3A%2020%7D")</f>
        <v>http://www.stromypodkontrolou.cz/map/?draw_selection_circle=1#%7B%22lat%22%3A%2049.6601661859624%2C%20%22lng%22%3A%2018.6716610961846%2C%20%22zoom%22%3A%2020%7D</v>
      </c>
    </row>
    <row r="273" spans="1:7" ht="12.75">
      <c r="A273" s="1" t="s">
        <v>7</v>
      </c>
      <c r="B273" s="1" t="s">
        <v>8</v>
      </c>
      <c r="C273" s="1" t="s">
        <v>107</v>
      </c>
      <c r="D273" s="1">
        <v>27</v>
      </c>
      <c r="E273" s="1"/>
      <c r="F273" s="1" t="s">
        <v>132</v>
      </c>
      <c r="G273" s="1" t="str">
        <f>HYPERLINK("http://www.stromypodkontrolou.cz/map/?draw_selection_circle=1#%7B%22lat%22%3A%2049.6603709006248%2C%20%22lng%22%3A%2018.671824580861%2C%20%22zoom%22%3A%2020%7D")</f>
        <v>http://www.stromypodkontrolou.cz/map/?draw_selection_circle=1#%7B%22lat%22%3A%2049.6603709006248%2C%20%22lng%22%3A%2018.671824580861%2C%20%22zoom%22%3A%2020%7D</v>
      </c>
    </row>
    <row r="274" spans="1:7" ht="12.75">
      <c r="A274" s="1" t="s">
        <v>7</v>
      </c>
      <c r="B274" s="1" t="s">
        <v>8</v>
      </c>
      <c r="C274" s="1" t="s">
        <v>107</v>
      </c>
      <c r="D274" s="1">
        <v>26</v>
      </c>
      <c r="E274" s="1"/>
      <c r="F274" s="1" t="s">
        <v>132</v>
      </c>
      <c r="G274" s="1" t="str">
        <f>HYPERLINK("http://www.stromypodkontrolou.cz/map/?draw_selection_circle=1#%7B%22lat%22%3A%2049.6603980293734%2C%20%22lng%22%3A%2018.6720485453201%2C%20%22zoom%22%3A%2020%7D")</f>
        <v>http://www.stromypodkontrolou.cz/map/?draw_selection_circle=1#%7B%22lat%22%3A%2049.6603980293734%2C%20%22lng%22%3A%2018.6720485453201%2C%20%22zoom%22%3A%2020%7D</v>
      </c>
    </row>
    <row r="275" spans="1:7" ht="12.75">
      <c r="A275" s="1" t="s">
        <v>7</v>
      </c>
      <c r="B275" s="1" t="s">
        <v>8</v>
      </c>
      <c r="C275" s="1" t="s">
        <v>47</v>
      </c>
      <c r="D275" s="1">
        <v>94</v>
      </c>
      <c r="E275" s="1"/>
      <c r="F275" s="1" t="s">
        <v>10</v>
      </c>
      <c r="G275" s="1" t="str">
        <f>HYPERLINK("http://www.stromypodkontrolou.cz/map/?draw_selection_circle=1#%7B%22lat%22%3A%2049.6779276189%2C%20%22lng%22%3A%2018.646455303%2C%20%22zoom%22%3A%2020%7D")</f>
        <v>http://www.stromypodkontrolou.cz/map/?draw_selection_circle=1#%7B%22lat%22%3A%2049.6779276189%2C%20%22lng%22%3A%2018.646455303%2C%20%22zoom%22%3A%2020%7D</v>
      </c>
    </row>
    <row r="276" spans="1:7" ht="12.75">
      <c r="A276" s="1" t="s">
        <v>7</v>
      </c>
      <c r="B276" s="1" t="s">
        <v>8</v>
      </c>
      <c r="C276" s="1" t="s">
        <v>47</v>
      </c>
      <c r="D276" s="1">
        <v>120</v>
      </c>
      <c r="E276" s="1"/>
      <c r="F276" s="1" t="s">
        <v>133</v>
      </c>
      <c r="G276" s="1" t="str">
        <f>HYPERLINK("http://www.stromypodkontrolou.cz/map/?draw_selection_circle=1#%7B%22lat%22%3A%2049.6778000868727%2C%20%22lng%22%3A%2018.6458032455988%2C%20%22zoom%22%3A%2020%7D")</f>
        <v>http://www.stromypodkontrolou.cz/map/?draw_selection_circle=1#%7B%22lat%22%3A%2049.6778000868727%2C%20%22lng%22%3A%2018.6458032455988%2C%20%22zoom%22%3A%2020%7D</v>
      </c>
    </row>
    <row r="277" spans="1:7" ht="12.75">
      <c r="A277" s="1" t="s">
        <v>7</v>
      </c>
      <c r="B277" s="1" t="s">
        <v>8</v>
      </c>
      <c r="C277" s="1" t="s">
        <v>47</v>
      </c>
      <c r="D277" s="1">
        <v>67</v>
      </c>
      <c r="E277" s="1"/>
      <c r="F277" s="1" t="s">
        <v>21</v>
      </c>
      <c r="G277" s="1" t="str">
        <f>HYPERLINK("http://www.stromypodkontrolou.cz/map/?draw_selection_circle=1#%7B%22lat%22%3A%2049.6779777691067%2C%20%22lng%22%3A%2018.6459318173561%2C%20%22zoom%22%3A%2020%7D")</f>
        <v>http://www.stromypodkontrolou.cz/map/?draw_selection_circle=1#%7B%22lat%22%3A%2049.6779777691067%2C%20%22lng%22%3A%2018.6459318173561%2C%20%22zoom%22%3A%2020%7D</v>
      </c>
    </row>
    <row r="278" spans="1:7" ht="12.75">
      <c r="A278" s="1" t="s">
        <v>7</v>
      </c>
      <c r="B278" s="1" t="s">
        <v>8</v>
      </c>
      <c r="C278" s="1" t="s">
        <v>26</v>
      </c>
      <c r="D278" s="1">
        <v>174</v>
      </c>
      <c r="E278" s="1"/>
      <c r="F278" s="1" t="s">
        <v>30</v>
      </c>
      <c r="G278" s="1" t="str">
        <f>HYPERLINK("http://www.stromypodkontrolou.cz/map/?draw_selection_circle=1#%7B%22lat%22%3A%2049.6656789778%2C%20%22lng%22%3A%2018.6747704417%2C%20%22zoom%22%3A%2020%7D")</f>
        <v>http://www.stromypodkontrolou.cz/map/?draw_selection_circle=1#%7B%22lat%22%3A%2049.6656789778%2C%20%22lng%22%3A%2018.6747704417%2C%20%22zoom%22%3A%2020%7D</v>
      </c>
    </row>
    <row r="279" spans="1:7" ht="12.75">
      <c r="A279" s="1" t="s">
        <v>7</v>
      </c>
      <c r="B279" s="1" t="s">
        <v>8</v>
      </c>
      <c r="C279" s="1" t="s">
        <v>26</v>
      </c>
      <c r="D279" s="1">
        <v>169</v>
      </c>
      <c r="E279" s="1"/>
      <c r="F279" s="1" t="s">
        <v>134</v>
      </c>
      <c r="G279" s="1" t="str">
        <f>HYPERLINK("http://www.stromypodkontrolou.cz/map/?draw_selection_circle=1#%7B%22lat%22%3A%2049.6656514690302%2C%20%22lng%22%3A%2018.6749063782785%2C%20%22zoom%22%3A%2020%7D")</f>
        <v>http://www.stromypodkontrolou.cz/map/?draw_selection_circle=1#%7B%22lat%22%3A%2049.6656514690302%2C%20%22lng%22%3A%2018.6749063782785%2C%20%22zoom%22%3A%2020%7D</v>
      </c>
    </row>
    <row r="280" spans="1:7" ht="12.75">
      <c r="A280" s="1" t="s">
        <v>7</v>
      </c>
      <c r="B280" s="1" t="s">
        <v>8</v>
      </c>
      <c r="C280" s="1" t="s">
        <v>26</v>
      </c>
      <c r="D280" s="1">
        <v>243</v>
      </c>
      <c r="E280" s="1"/>
      <c r="F280" s="1" t="s">
        <v>27</v>
      </c>
      <c r="G280" s="1" t="str">
        <f>HYPERLINK("http://www.stromypodkontrolou.cz/map/?draw_selection_circle=1#%7B%22lat%22%3A%2049.6642812155268%2C%20%22lng%22%3A%2018.6737999652603%2C%20%22zoom%22%3A%2020%7D")</f>
        <v>http://www.stromypodkontrolou.cz/map/?draw_selection_circle=1#%7B%22lat%22%3A%2049.6642812155268%2C%20%22lng%22%3A%2018.6737999652603%2C%20%22zoom%22%3A%2020%7D</v>
      </c>
    </row>
    <row r="281" spans="1:7" ht="12.75">
      <c r="A281" s="1" t="s">
        <v>7</v>
      </c>
      <c r="B281" s="1" t="s">
        <v>8</v>
      </c>
      <c r="C281" s="1" t="s">
        <v>25</v>
      </c>
      <c r="D281" s="1">
        <v>85</v>
      </c>
      <c r="E281" s="1"/>
      <c r="F281" s="1" t="s">
        <v>91</v>
      </c>
      <c r="G281" s="1" t="str">
        <f>HYPERLINK("http://www.stromypodkontrolou.cz/map/?draw_selection_circle=1#%7B%22lat%22%3A%2049.664148010462%2C%20%22lng%22%3A%2018.6724726162728%2C%20%22zoom%22%3A%2020%7D")</f>
        <v>http://www.stromypodkontrolou.cz/map/?draw_selection_circle=1#%7B%22lat%22%3A%2049.664148010462%2C%20%22lng%22%3A%2018.6724726162728%2C%20%22zoom%22%3A%2020%7D</v>
      </c>
    </row>
    <row r="282" spans="1:7" ht="12.75">
      <c r="A282" s="1" t="s">
        <v>7</v>
      </c>
      <c r="B282" s="1" t="s">
        <v>8</v>
      </c>
      <c r="C282" s="1" t="s">
        <v>50</v>
      </c>
      <c r="D282" s="1">
        <v>3</v>
      </c>
      <c r="E282" s="1"/>
      <c r="F282" s="1" t="s">
        <v>23</v>
      </c>
      <c r="G282" s="1" t="str">
        <f>HYPERLINK("http://www.stromypodkontrolou.cz/map/?draw_selection_circle=1#%7B%22lat%22%3A%2049.664571700682%2C%20%22lng%22%3A%2018.6829843705583%2C%20%22zoom%22%3A%2020%7D")</f>
        <v>http://www.stromypodkontrolou.cz/map/?draw_selection_circle=1#%7B%22lat%22%3A%2049.664571700682%2C%20%22lng%22%3A%2018.6829843705583%2C%20%22zoom%22%3A%2020%7D</v>
      </c>
    </row>
    <row r="283" spans="1:7" ht="12.75">
      <c r="A283" s="1" t="s">
        <v>7</v>
      </c>
      <c r="B283" s="1" t="s">
        <v>8</v>
      </c>
      <c r="C283" s="1" t="s">
        <v>135</v>
      </c>
      <c r="D283" s="1">
        <v>7</v>
      </c>
      <c r="E283" s="1"/>
      <c r="F283" s="1" t="s">
        <v>136</v>
      </c>
      <c r="G283" s="1" t="str">
        <f>HYPERLINK("http://www.stromypodkontrolou.cz/map/?draw_selection_circle=1#%7B%22lat%22%3A%2049.6628368601%2C%20%22lng%22%3A%2018.6849055007%2C%20%22zoom%22%3A%2020%7D")</f>
        <v>http://www.stromypodkontrolou.cz/map/?draw_selection_circle=1#%7B%22lat%22%3A%2049.6628368601%2C%20%22lng%22%3A%2018.6849055007%2C%20%22zoom%22%3A%2020%7D</v>
      </c>
    </row>
    <row r="284" spans="1:7" ht="12.75">
      <c r="A284" s="1" t="s">
        <v>7</v>
      </c>
      <c r="B284" s="1" t="s">
        <v>8</v>
      </c>
      <c r="C284" s="1" t="s">
        <v>135</v>
      </c>
      <c r="D284" s="1">
        <v>4</v>
      </c>
      <c r="E284" s="1"/>
      <c r="F284" s="1" t="s">
        <v>11</v>
      </c>
      <c r="G284" s="1" t="str">
        <f>HYPERLINK("http://www.stromypodkontrolou.cz/map/?draw_selection_circle=1#%7B%22lat%22%3A%2049.6628825345755%2C%20%22lng%22%3A%2018.6849054017503%2C%20%22zoom%22%3A%2020%7D")</f>
        <v>http://www.stromypodkontrolou.cz/map/?draw_selection_circle=1#%7B%22lat%22%3A%2049.6628825345755%2C%20%22lng%22%3A%2018.6849054017503%2C%20%22zoom%22%3A%2020%7D</v>
      </c>
    </row>
    <row r="285" spans="1:7" ht="12.75">
      <c r="A285" s="1" t="s">
        <v>7</v>
      </c>
      <c r="B285" s="1" t="s">
        <v>8</v>
      </c>
      <c r="C285" s="1" t="s">
        <v>135</v>
      </c>
      <c r="D285" s="1">
        <v>6</v>
      </c>
      <c r="E285" s="1"/>
      <c r="F285" s="1" t="s">
        <v>21</v>
      </c>
      <c r="G285" s="1" t="str">
        <f>HYPERLINK("http://www.stromypodkontrolou.cz/map/?draw_selection_circle=1#%7B%22lat%22%3A%2049.662854983355%2C%20%22lng%22%3A%2018.6849050745315%2C%20%22zoom%22%3A%2020%7D")</f>
        <v>http://www.stromypodkontrolou.cz/map/?draw_selection_circle=1#%7B%22lat%22%3A%2049.662854983355%2C%20%22lng%22%3A%2018.6849050745315%2C%20%22zoom%22%3A%2020%7D</v>
      </c>
    </row>
    <row r="286" spans="1:7" ht="12.75">
      <c r="A286" s="1" t="s">
        <v>7</v>
      </c>
      <c r="B286" s="1" t="s">
        <v>8</v>
      </c>
      <c r="C286" s="1" t="s">
        <v>137</v>
      </c>
      <c r="D286" s="1">
        <v>90</v>
      </c>
      <c r="E286" s="1"/>
      <c r="F286" s="1" t="s">
        <v>21</v>
      </c>
      <c r="G286" s="1" t="str">
        <f>HYPERLINK("http://www.stromypodkontrolou.cz/map/?draw_selection_circle=1#%7B%22lat%22%3A%2049.6847326709513%2C%20%22lng%22%3A%2018.6661977756441%2C%20%22zoom%22%3A%2020%7D")</f>
        <v>http://www.stromypodkontrolou.cz/map/?draw_selection_circle=1#%7B%22lat%22%3A%2049.6847326709513%2C%20%22lng%22%3A%2018.6661977756441%2C%20%22zoom%22%3A%2020%7D</v>
      </c>
    </row>
    <row r="287" spans="1:7" ht="12.75">
      <c r="A287" s="1" t="s">
        <v>7</v>
      </c>
      <c r="B287" s="1" t="s">
        <v>8</v>
      </c>
      <c r="C287" s="1" t="s">
        <v>137</v>
      </c>
      <c r="D287" s="1">
        <v>91</v>
      </c>
      <c r="E287" s="1"/>
      <c r="F287" s="1" t="s">
        <v>21</v>
      </c>
      <c r="G287" s="1" t="str">
        <f>HYPERLINK("http://www.stromypodkontrolou.cz/map/?draw_selection_circle=1#%7B%22lat%22%3A%2049.684709245229%2C%20%22lng%22%3A%2018.6662522368473%2C%20%22zoom%22%3A%2020%7D")</f>
        <v>http://www.stromypodkontrolou.cz/map/?draw_selection_circle=1#%7B%22lat%22%3A%2049.684709245229%2C%20%22lng%22%3A%2018.6662522368473%2C%20%22zoom%22%3A%2020%7D</v>
      </c>
    </row>
    <row r="288" spans="1:7" ht="12.75">
      <c r="A288" s="1" t="s">
        <v>7</v>
      </c>
      <c r="B288" s="1" t="s">
        <v>8</v>
      </c>
      <c r="C288" s="1" t="s">
        <v>137</v>
      </c>
      <c r="D288" s="1">
        <v>92</v>
      </c>
      <c r="E288" s="1"/>
      <c r="F288" s="1" t="s">
        <v>21</v>
      </c>
      <c r="G288" s="1" t="str">
        <f>HYPERLINK("http://www.stromypodkontrolou.cz/map/?draw_selection_circle=1#%7B%22lat%22%3A%2049.6846846327536%2C%20%22lng%22%3A%2018.6663068456182%2C%20%22zoom%22%3A%2020%7D")</f>
        <v>http://www.stromypodkontrolou.cz/map/?draw_selection_circle=1#%7B%22lat%22%3A%2049.6846846327536%2C%20%22lng%22%3A%2018.6663068456182%2C%20%22zoom%22%3A%2020%7D</v>
      </c>
    </row>
    <row r="289" spans="1:7" ht="12.75">
      <c r="A289" s="1" t="s">
        <v>7</v>
      </c>
      <c r="B289" s="1" t="s">
        <v>8</v>
      </c>
      <c r="C289" s="1" t="s">
        <v>56</v>
      </c>
      <c r="D289" s="1">
        <v>105</v>
      </c>
      <c r="E289" s="1"/>
      <c r="F289" s="1" t="s">
        <v>14</v>
      </c>
      <c r="G289" s="1" t="str">
        <f>HYPERLINK("http://www.stromypodkontrolou.cz/map/?draw_selection_circle=1#%7B%22lat%22%3A%2049.6735775742341%2C%20%22lng%22%3A%2018.6693625910173%2C%20%22zoom%22%3A%2020%7D")</f>
        <v>http://www.stromypodkontrolou.cz/map/?draw_selection_circle=1#%7B%22lat%22%3A%2049.6735775742341%2C%20%22lng%22%3A%2018.6693625910173%2C%20%22zoom%22%3A%2020%7D</v>
      </c>
    </row>
    <row r="290" spans="1:7" ht="12.75">
      <c r="A290" s="1" t="s">
        <v>7</v>
      </c>
      <c r="B290" s="1" t="s">
        <v>8</v>
      </c>
      <c r="C290" s="1" t="s">
        <v>56</v>
      </c>
      <c r="D290" s="1">
        <v>108</v>
      </c>
      <c r="E290" s="1"/>
      <c r="F290" s="1" t="s">
        <v>10</v>
      </c>
      <c r="G290" s="1" t="str">
        <f>HYPERLINK("http://www.stromypodkontrolou.cz/map/?draw_selection_circle=1#%7B%22lat%22%3A%2049.6734602975101%2C%20%22lng%22%3A%2018.6693127514407%2C%20%22zoom%22%3A%2020%7D")</f>
        <v>http://www.stromypodkontrolou.cz/map/?draw_selection_circle=1#%7B%22lat%22%3A%2049.6734602975101%2C%20%22lng%22%3A%2018.6693127514407%2C%20%22zoom%22%3A%2020%7D</v>
      </c>
    </row>
    <row r="291" spans="1:7" ht="12.75">
      <c r="A291" s="1" t="s">
        <v>7</v>
      </c>
      <c r="B291" s="1" t="s">
        <v>8</v>
      </c>
      <c r="C291" s="1" t="s">
        <v>56</v>
      </c>
      <c r="D291" s="1">
        <v>141</v>
      </c>
      <c r="E291" s="1"/>
      <c r="F291" s="1" t="s">
        <v>23</v>
      </c>
      <c r="G291" s="1" t="str">
        <f>HYPERLINK("http://www.stromypodkontrolou.cz/map/?draw_selection_circle=1#%7B%22lat%22%3A%2049.6729442958815%2C%20%22lng%22%3A%2018.6693784110141%2C%20%22zoom%22%3A%2020%7D")</f>
        <v>http://www.stromypodkontrolou.cz/map/?draw_selection_circle=1#%7B%22lat%22%3A%2049.6729442958815%2C%20%22lng%22%3A%2018.6693784110141%2C%20%22zoom%22%3A%2020%7D</v>
      </c>
    </row>
    <row r="292" spans="1:7" ht="12.75">
      <c r="A292" s="1" t="s">
        <v>7</v>
      </c>
      <c r="B292" s="1" t="s">
        <v>8</v>
      </c>
      <c r="C292" s="1" t="s">
        <v>59</v>
      </c>
      <c r="D292" s="1">
        <v>14</v>
      </c>
      <c r="E292" s="1"/>
      <c r="F292" s="1" t="s">
        <v>11</v>
      </c>
      <c r="G292" s="1" t="str">
        <f>HYPERLINK("http://www.stromypodkontrolou.cz/map/?draw_selection_circle=1#%7B%22lat%22%3A%2049.6722150875%2C%20%22lng%22%3A%2018.6693989625%2C%20%22zoom%22%3A%2020%7D")</f>
        <v>http://www.stromypodkontrolou.cz/map/?draw_selection_circle=1#%7B%22lat%22%3A%2049.6722150875%2C%20%22lng%22%3A%2018.6693989625%2C%20%22zoom%22%3A%2020%7D</v>
      </c>
    </row>
    <row r="293" spans="1:7" ht="12.75">
      <c r="A293" s="1" t="s">
        <v>7</v>
      </c>
      <c r="B293" s="1" t="s">
        <v>8</v>
      </c>
      <c r="C293" s="1" t="s">
        <v>81</v>
      </c>
      <c r="D293" s="1">
        <v>122</v>
      </c>
      <c r="E293" s="1"/>
      <c r="F293" s="1" t="s">
        <v>21</v>
      </c>
      <c r="G293" s="1" t="str">
        <f>HYPERLINK("http://www.stromypodkontrolou.cz/map/?draw_selection_circle=1#%7B%22lat%22%3A%2049.666917464202%2C%20%22lng%22%3A%2018.6752825188588%2C%20%22zoom%22%3A%2020%7D")</f>
        <v>http://www.stromypodkontrolou.cz/map/?draw_selection_circle=1#%7B%22lat%22%3A%2049.666917464202%2C%20%22lng%22%3A%2018.6752825188588%2C%20%22zoom%22%3A%2020%7D</v>
      </c>
    </row>
    <row r="294" spans="1:7" ht="12.75">
      <c r="A294" s="1" t="s">
        <v>7</v>
      </c>
      <c r="B294" s="1" t="s">
        <v>8</v>
      </c>
      <c r="C294" s="1" t="s">
        <v>81</v>
      </c>
      <c r="D294" s="1">
        <v>141</v>
      </c>
      <c r="E294" s="1"/>
      <c r="F294" s="1" t="s">
        <v>67</v>
      </c>
      <c r="G294" s="1" t="str">
        <f>HYPERLINK("http://www.stromypodkontrolou.cz/map/?draw_selection_circle=1#%7B%22lat%22%3A%2049.6677858503615%2C%20%22lng%22%3A%2018.6743755994633%2C%20%22zoom%22%3A%2020%7D")</f>
        <v>http://www.stromypodkontrolou.cz/map/?draw_selection_circle=1#%7B%22lat%22%3A%2049.6677858503615%2C%20%22lng%22%3A%2018.6743755994633%2C%20%22zoom%22%3A%2020%7D</v>
      </c>
    </row>
    <row r="295" spans="1:7" ht="12.75">
      <c r="A295" s="1" t="s">
        <v>7</v>
      </c>
      <c r="B295" s="1" t="s">
        <v>8</v>
      </c>
      <c r="C295" s="1" t="s">
        <v>81</v>
      </c>
      <c r="D295" s="1">
        <v>143</v>
      </c>
      <c r="E295" s="1"/>
      <c r="F295" s="1" t="s">
        <v>21</v>
      </c>
      <c r="G295" s="1" t="str">
        <f>HYPERLINK("http://www.stromypodkontrolou.cz/map/?draw_selection_circle=1#%7B%22lat%22%3A%2049.667840417462%2C%20%22lng%22%3A%2018.6743070747337%2C%20%22zoom%22%3A%2020%7D")</f>
        <v>http://www.stromypodkontrolou.cz/map/?draw_selection_circle=1#%7B%22lat%22%3A%2049.667840417462%2C%20%22lng%22%3A%2018.6743070747337%2C%20%22zoom%22%3A%2020%7D</v>
      </c>
    </row>
    <row r="296" spans="1:7" ht="12.75">
      <c r="A296" s="1" t="s">
        <v>7</v>
      </c>
      <c r="B296" s="1" t="s">
        <v>8</v>
      </c>
      <c r="C296" s="1" t="s">
        <v>81</v>
      </c>
      <c r="D296" s="1">
        <v>176</v>
      </c>
      <c r="E296" s="1"/>
      <c r="F296" s="1" t="s">
        <v>21</v>
      </c>
      <c r="G296" s="1" t="str">
        <f>HYPERLINK("http://www.stromypodkontrolou.cz/map/?draw_selection_circle=1#%7B%22lat%22%3A%2049.6676007651754%2C%20%22lng%22%3A%2018.6737902681279%2C%20%22zoom%22%3A%2020%7D")</f>
        <v>http://www.stromypodkontrolou.cz/map/?draw_selection_circle=1#%7B%22lat%22%3A%2049.6676007651754%2C%20%22lng%22%3A%2018.6737902681279%2C%20%22zoom%22%3A%2020%7D</v>
      </c>
    </row>
    <row r="297" spans="1:7" ht="12.75">
      <c r="A297" s="1" t="s">
        <v>7</v>
      </c>
      <c r="B297" s="1" t="s">
        <v>8</v>
      </c>
      <c r="C297" s="1" t="s">
        <v>81</v>
      </c>
      <c r="D297" s="1">
        <v>181</v>
      </c>
      <c r="E297" s="1"/>
      <c r="F297" s="1" t="s">
        <v>108</v>
      </c>
      <c r="G297" s="1" t="str">
        <f>HYPERLINK("http://www.stromypodkontrolou.cz/map/?draw_selection_circle=1#%7B%22lat%22%3A%2049.6674058607905%2C%20%22lng%22%3A%2018.6733525615612%2C%20%22zoom%22%3A%2020%7D")</f>
        <v>http://www.stromypodkontrolou.cz/map/?draw_selection_circle=1#%7B%22lat%22%3A%2049.6674058607905%2C%20%22lng%22%3A%2018.6733525615612%2C%20%22zoom%22%3A%2020%7D</v>
      </c>
    </row>
    <row r="298" spans="1:7" ht="12.75">
      <c r="A298" s="1" t="s">
        <v>7</v>
      </c>
      <c r="B298" s="1" t="s">
        <v>8</v>
      </c>
      <c r="C298" s="1" t="s">
        <v>81</v>
      </c>
      <c r="D298" s="1">
        <v>179</v>
      </c>
      <c r="E298" s="1"/>
      <c r="F298" s="1" t="s">
        <v>21</v>
      </c>
      <c r="G298" s="1" t="str">
        <f>HYPERLINK("http://www.stromypodkontrolou.cz/map/?draw_selection_circle=1#%7B%22lat%22%3A%2049.6675278795307%2C%20%22lng%22%3A%2018.6736300131583%2C%20%22zoom%22%3A%2020%7D")</f>
        <v>http://www.stromypodkontrolou.cz/map/?draw_selection_circle=1#%7B%22lat%22%3A%2049.6675278795307%2C%20%22lng%22%3A%2018.6736300131583%2C%20%22zoom%22%3A%2020%7D</v>
      </c>
    </row>
    <row r="299" spans="1:7" ht="12.75">
      <c r="A299" s="1" t="s">
        <v>7</v>
      </c>
      <c r="B299" s="1" t="s">
        <v>8</v>
      </c>
      <c r="C299" s="1" t="s">
        <v>81</v>
      </c>
      <c r="D299" s="1">
        <v>171</v>
      </c>
      <c r="E299" s="1"/>
      <c r="F299" s="1" t="s">
        <v>138</v>
      </c>
      <c r="G299" s="1" t="str">
        <f>HYPERLINK("http://www.stromypodkontrolou.cz/map/?draw_selection_circle=1#%7B%22lat%22%3A%2049.6675455829862%2C%20%22lng%22%3A%2018.6737400728048%2C%20%22zoom%22%3A%2020%7D")</f>
        <v>http://www.stromypodkontrolou.cz/map/?draw_selection_circle=1#%7B%22lat%22%3A%2049.6675455829862%2C%20%22lng%22%3A%2018.6737400728048%2C%20%22zoom%22%3A%2020%7D</v>
      </c>
    </row>
    <row r="300" spans="1:7" ht="12.75">
      <c r="A300" s="1" t="s">
        <v>7</v>
      </c>
      <c r="B300" s="1" t="s">
        <v>8</v>
      </c>
      <c r="C300" s="1" t="s">
        <v>139</v>
      </c>
      <c r="D300" s="1">
        <v>52</v>
      </c>
      <c r="E300" s="1"/>
      <c r="F300" s="1" t="s">
        <v>21</v>
      </c>
      <c r="G300" s="1" t="str">
        <f>HYPERLINK("http://www.stromypodkontrolou.cz/map/?draw_selection_circle=1#%7B%22lat%22%3A%2049.6658491613036%2C%20%22lng%22%3A%2018.6758366536997%2C%20%22zoom%22%3A%2020%7D")</f>
        <v>http://www.stromypodkontrolou.cz/map/?draw_selection_circle=1#%7B%22lat%22%3A%2049.6658491613036%2C%20%22lng%22%3A%2018.6758366536997%2C%20%22zoom%22%3A%2020%7D</v>
      </c>
    </row>
    <row r="301" spans="1:7" ht="12.75">
      <c r="A301" s="1" t="s">
        <v>7</v>
      </c>
      <c r="B301" s="1" t="s">
        <v>8</v>
      </c>
      <c r="C301" s="1" t="s">
        <v>140</v>
      </c>
      <c r="D301" s="1">
        <v>3</v>
      </c>
      <c r="E301" s="1"/>
      <c r="F301" s="1" t="s">
        <v>10</v>
      </c>
      <c r="G301" s="1" t="str">
        <f>HYPERLINK("http://www.stromypodkontrolou.cz/map/?draw_selection_circle=1#%7B%22lat%22%3A%2049.6748123270012%2C%20%22lng%22%3A%2018.672435174147%2C%20%22zoom%22%3A%2020%7D")</f>
        <v>http://www.stromypodkontrolou.cz/map/?draw_selection_circle=1#%7B%22lat%22%3A%2049.6748123270012%2C%20%22lng%22%3A%2018.672435174147%2C%20%22zoom%22%3A%2020%7D</v>
      </c>
    </row>
    <row r="302" spans="1:7" ht="12.75">
      <c r="A302" s="1" t="s">
        <v>7</v>
      </c>
      <c r="B302" s="1" t="s">
        <v>8</v>
      </c>
      <c r="C302" s="1" t="s">
        <v>60</v>
      </c>
      <c r="D302" s="1">
        <v>87</v>
      </c>
      <c r="E302" s="1"/>
      <c r="F302" s="1" t="s">
        <v>24</v>
      </c>
      <c r="G302" s="1" t="str">
        <f>HYPERLINK("http://www.stromypodkontrolou.cz/map/?draw_selection_circle=1#%7B%22lat%22%3A%2049.6724322045268%2C%20%22lng%22%3A%2018.6767869722864%2C%20%22zoom%22%3A%2020%7D")</f>
        <v>http://www.stromypodkontrolou.cz/map/?draw_selection_circle=1#%7B%22lat%22%3A%2049.6724322045268%2C%20%22lng%22%3A%2018.6767869722864%2C%20%22zoom%22%3A%2020%7D</v>
      </c>
    </row>
    <row r="303" spans="1:7" ht="12.75">
      <c r="A303" s="1" t="s">
        <v>7</v>
      </c>
      <c r="B303" s="1" t="s">
        <v>8</v>
      </c>
      <c r="C303" s="1" t="s">
        <v>60</v>
      </c>
      <c r="D303" s="1">
        <v>88</v>
      </c>
      <c r="E303" s="1"/>
      <c r="F303" s="1" t="s">
        <v>24</v>
      </c>
      <c r="G303" s="1" t="str">
        <f>HYPERLINK("http://www.stromypodkontrolou.cz/map/?draw_selection_circle=1#%7B%22lat%22%3A%2049.6723621135364%2C%20%22lng%22%3A%2018.676725736592%2C%20%22zoom%22%3A%2020%7D")</f>
        <v>http://www.stromypodkontrolou.cz/map/?draw_selection_circle=1#%7B%22lat%22%3A%2049.6723621135364%2C%20%22lng%22%3A%2018.676725736592%2C%20%22zoom%22%3A%2020%7D</v>
      </c>
    </row>
    <row r="304" spans="1:7" ht="12.75">
      <c r="A304" s="1" t="s">
        <v>7</v>
      </c>
      <c r="B304" s="1" t="s">
        <v>8</v>
      </c>
      <c r="C304" s="1" t="s">
        <v>141</v>
      </c>
      <c r="D304" s="1">
        <v>1</v>
      </c>
      <c r="E304" s="1"/>
      <c r="F304" s="1" t="s">
        <v>11</v>
      </c>
      <c r="G304" s="1" t="str">
        <f>HYPERLINK("http://www.stromypodkontrolou.cz/map/?draw_selection_circle=1#%7B%22lat%22%3A%2049.6746368899376%2C%20%22lng%22%3A%2018.6726080008112%2C%20%22zoom%22%3A%2020%7D")</f>
        <v>http://www.stromypodkontrolou.cz/map/?draw_selection_circle=1#%7B%22lat%22%3A%2049.6746368899376%2C%20%22lng%22%3A%2018.6726080008112%2C%20%22zoom%22%3A%2020%7D</v>
      </c>
    </row>
    <row r="305" spans="1:7" ht="12.75">
      <c r="A305" s="1" t="s">
        <v>7</v>
      </c>
      <c r="B305" s="1" t="s">
        <v>8</v>
      </c>
      <c r="C305" s="1" t="s">
        <v>116</v>
      </c>
      <c r="D305" s="1">
        <v>24</v>
      </c>
      <c r="E305" s="1"/>
      <c r="F305" s="1" t="s">
        <v>21</v>
      </c>
      <c r="G305" s="1" t="str">
        <f>HYPERLINK("http://www.stromypodkontrolou.cz/map/?draw_selection_circle=1#%7B%22lat%22%3A%2049.6648058924158%2C%20%22lng%22%3A%2018.6841811409204%2C%20%22zoom%22%3A%2020%7D")</f>
        <v>http://www.stromypodkontrolou.cz/map/?draw_selection_circle=1#%7B%22lat%22%3A%2049.6648058924158%2C%20%22lng%22%3A%2018.6841811409204%2C%20%22zoom%22%3A%2020%7D</v>
      </c>
    </row>
    <row r="306" spans="1:7" ht="12.75">
      <c r="A306" s="1" t="s">
        <v>7</v>
      </c>
      <c r="B306" s="1" t="s">
        <v>8</v>
      </c>
      <c r="C306" s="1" t="s">
        <v>66</v>
      </c>
      <c r="D306" s="1">
        <v>22</v>
      </c>
      <c r="E306" s="1"/>
      <c r="F306" s="1" t="s">
        <v>142</v>
      </c>
      <c r="G306" s="1" t="str">
        <f>HYPERLINK("http://www.stromypodkontrolou.cz/map/?draw_selection_circle=1#%7B%22lat%22%3A%2049.6652149218557%2C%20%22lng%22%3A%2018.680422926483%2C%20%22zoom%22%3A%2020%7D")</f>
        <v>http://www.stromypodkontrolou.cz/map/?draw_selection_circle=1#%7B%22lat%22%3A%2049.6652149218557%2C%20%22lng%22%3A%2018.680422926483%2C%20%22zoom%22%3A%2020%7D</v>
      </c>
    </row>
    <row r="307" spans="1:7" ht="12.75">
      <c r="A307" s="1" t="s">
        <v>7</v>
      </c>
      <c r="B307" s="1" t="s">
        <v>8</v>
      </c>
      <c r="C307" s="1" t="s">
        <v>66</v>
      </c>
      <c r="D307" s="1">
        <v>23</v>
      </c>
      <c r="E307" s="1"/>
      <c r="F307" s="1" t="s">
        <v>142</v>
      </c>
      <c r="G307" s="1" t="str">
        <f>HYPERLINK("http://www.stromypodkontrolou.cz/map/?draw_selection_circle=1#%7B%22lat%22%3A%2049.6651575182613%2C%20%22lng%22%3A%2018.6804764215534%2C%20%22zoom%22%3A%2020%7D")</f>
        <v>http://www.stromypodkontrolou.cz/map/?draw_selection_circle=1#%7B%22lat%22%3A%2049.6651575182613%2C%20%22lng%22%3A%2018.6804764215534%2C%20%22zoom%22%3A%2020%7D</v>
      </c>
    </row>
    <row r="308" spans="1:7" ht="12.75">
      <c r="A308" s="1" t="s">
        <v>7</v>
      </c>
      <c r="B308" s="1" t="s">
        <v>8</v>
      </c>
      <c r="C308" s="1" t="s">
        <v>66</v>
      </c>
      <c r="D308" s="1">
        <v>24</v>
      </c>
      <c r="E308" s="1"/>
      <c r="F308" s="1" t="s">
        <v>142</v>
      </c>
      <c r="G308" s="1" t="str">
        <f>HYPERLINK("http://www.stromypodkontrolou.cz/map/?draw_selection_circle=1#%7B%22lat%22%3A%2049.6651224382791%2C%20%22lng%22%3A%2018.6805091129197%2C%20%22zoom%22%3A%2020%7D")</f>
        <v>http://www.stromypodkontrolou.cz/map/?draw_selection_circle=1#%7B%22lat%22%3A%2049.6651224382791%2C%20%22lng%22%3A%2018.6805091129197%2C%20%22zoom%22%3A%2020%7D</v>
      </c>
    </row>
    <row r="309" spans="1:7" ht="12.75">
      <c r="A309" s="1" t="s">
        <v>7</v>
      </c>
      <c r="B309" s="1" t="s">
        <v>8</v>
      </c>
      <c r="C309" s="1" t="s">
        <v>66</v>
      </c>
      <c r="D309" s="1">
        <v>30</v>
      </c>
      <c r="E309" s="1"/>
      <c r="F309" s="1" t="s">
        <v>142</v>
      </c>
      <c r="G309" s="1" t="str">
        <f>HYPERLINK("http://www.stromypodkontrolou.cz/map/?draw_selection_circle=1#%7B%22lat%22%3A%2049.6647441923316%2C%20%22lng%22%3A%2018.6808985790613%2C%20%22zoom%22%3A%2020%7D")</f>
        <v>http://www.stromypodkontrolou.cz/map/?draw_selection_circle=1#%7B%22lat%22%3A%2049.6647441923316%2C%20%22lng%22%3A%2018.6808985790613%2C%20%22zoom%22%3A%2020%7D</v>
      </c>
    </row>
    <row r="310" spans="1:7" ht="12.75">
      <c r="A310" s="1" t="s">
        <v>7</v>
      </c>
      <c r="B310" s="1" t="s">
        <v>8</v>
      </c>
      <c r="C310" s="1" t="s">
        <v>66</v>
      </c>
      <c r="D310" s="1">
        <v>31</v>
      </c>
      <c r="E310" s="1"/>
      <c r="F310" s="1" t="s">
        <v>142</v>
      </c>
      <c r="G310" s="1" t="str">
        <f>HYPERLINK("http://www.stromypodkontrolou.cz/map/?draw_selection_circle=1#%7B%22lat%22%3A%2049.6646758544516%2C%20%22lng%22%3A%2018.6809622623806%2C%20%22zoom%22%3A%2020%7D")</f>
        <v>http://www.stromypodkontrolou.cz/map/?draw_selection_circle=1#%7B%22lat%22%3A%2049.6646758544516%2C%20%22lng%22%3A%2018.6809622623806%2C%20%22zoom%22%3A%2020%7D</v>
      </c>
    </row>
    <row r="311" spans="1:7" ht="12.75">
      <c r="A311" s="1" t="s">
        <v>7</v>
      </c>
      <c r="B311" s="1" t="s">
        <v>8</v>
      </c>
      <c r="C311" s="1" t="s">
        <v>66</v>
      </c>
      <c r="D311" s="1">
        <v>33</v>
      </c>
      <c r="E311" s="1"/>
      <c r="F311" s="1" t="s">
        <v>142</v>
      </c>
      <c r="G311" s="1" t="str">
        <f>HYPERLINK("http://www.stromypodkontrolou.cz/map/?draw_selection_circle=1#%7B%22lat%22%3A%2049.6645614955974%2C%20%22lng%22%3A%2018.6811052618049%2C%20%22zoom%22%3A%2020%7D")</f>
        <v>http://www.stromypodkontrolou.cz/map/?draw_selection_circle=1#%7B%22lat%22%3A%2049.6645614955974%2C%20%22lng%22%3A%2018.6811052618049%2C%20%22zoom%22%3A%2020%7D</v>
      </c>
    </row>
    <row r="312" spans="1:7" ht="12.75">
      <c r="A312" s="1" t="s">
        <v>7</v>
      </c>
      <c r="B312" s="1" t="s">
        <v>8</v>
      </c>
      <c r="C312" s="1" t="s">
        <v>35</v>
      </c>
      <c r="D312" s="1">
        <v>52</v>
      </c>
      <c r="E312" s="1"/>
      <c r="F312" s="1" t="s">
        <v>11</v>
      </c>
      <c r="G312" s="1" t="str">
        <f>HYPERLINK("http://www.stromypodkontrolou.cz/map/?draw_selection_circle=1#%7B%22lat%22%3A%2049.6685386293113%2C%20%22lng%22%3A%2018.6787217184367%2C%20%22zoom%22%3A%2020%7D")</f>
        <v>http://www.stromypodkontrolou.cz/map/?draw_selection_circle=1#%7B%22lat%22%3A%2049.6685386293113%2C%20%22lng%22%3A%2018.6787217184367%2C%20%22zoom%22%3A%2020%7D</v>
      </c>
    </row>
    <row r="313" spans="1:7" ht="12.75">
      <c r="A313" s="1" t="s">
        <v>7</v>
      </c>
      <c r="B313" s="1" t="s">
        <v>8</v>
      </c>
      <c r="C313" s="1" t="s">
        <v>101</v>
      </c>
      <c r="D313" s="1">
        <v>83</v>
      </c>
      <c r="E313" s="1"/>
      <c r="F313" s="1" t="s">
        <v>21</v>
      </c>
      <c r="G313" s="1" t="str">
        <f>HYPERLINK("http://www.stromypodkontrolou.cz/map/?draw_selection_circle=1#%7B%22lat%22%3A%2049.6653965926%2C%20%22lng%22%3A%2018.6787083%2C%20%22zoom%22%3A%2020%7D")</f>
        <v>http://www.stromypodkontrolou.cz/map/?draw_selection_circle=1#%7B%22lat%22%3A%2049.6653965926%2C%20%22lng%22%3A%2018.6787083%2C%20%22zoom%22%3A%2020%7D</v>
      </c>
    </row>
    <row r="314" spans="1:7" ht="12.75">
      <c r="A314" s="1" t="s">
        <v>7</v>
      </c>
      <c r="B314" s="1" t="s">
        <v>8</v>
      </c>
      <c r="C314" s="1" t="s">
        <v>101</v>
      </c>
      <c r="D314" s="1">
        <v>82</v>
      </c>
      <c r="E314" s="1"/>
      <c r="F314" s="1" t="s">
        <v>21</v>
      </c>
      <c r="G314" s="1" t="str">
        <f>HYPERLINK("http://www.stromypodkontrolou.cz/map/?draw_selection_circle=1#%7B%22lat%22%3A%2049.6653791070906%2C%20%22lng%22%3A%2018.67887611306%2C%20%22zoom%22%3A%2020%7D")</f>
        <v>http://www.stromypodkontrolou.cz/map/?draw_selection_circle=1#%7B%22lat%22%3A%2049.6653791070906%2C%20%22lng%22%3A%2018.67887611306%2C%20%22zoom%22%3A%2020%7D</v>
      </c>
    </row>
    <row r="315" spans="1:7" ht="12.75">
      <c r="A315" s="1" t="s">
        <v>7</v>
      </c>
      <c r="B315" s="1" t="s">
        <v>8</v>
      </c>
      <c r="C315" s="1" t="s">
        <v>101</v>
      </c>
      <c r="D315" s="1">
        <v>84</v>
      </c>
      <c r="E315" s="1"/>
      <c r="F315" s="1" t="s">
        <v>21</v>
      </c>
      <c r="G315" s="1" t="str">
        <f>HYPERLINK("http://www.stromypodkontrolou.cz/map/?draw_selection_circle=1#%7B%22lat%22%3A%2049.6653128756522%2C%20%22lng%22%3A%2018.6788631721785%2C%20%22zoom%22%3A%2020%7D")</f>
        <v>http://www.stromypodkontrolou.cz/map/?draw_selection_circle=1#%7B%22lat%22%3A%2049.6653128756522%2C%20%22lng%22%3A%2018.6788631721785%2C%20%22zoom%22%3A%2020%7D</v>
      </c>
    </row>
    <row r="316" spans="1:7" ht="12.75">
      <c r="A316" s="1" t="s">
        <v>7</v>
      </c>
      <c r="B316" s="1" t="s">
        <v>8</v>
      </c>
      <c r="C316" s="1" t="s">
        <v>64</v>
      </c>
      <c r="D316" s="1">
        <v>59</v>
      </c>
      <c r="E316" s="1"/>
      <c r="F316" s="1" t="s">
        <v>11</v>
      </c>
      <c r="G316" s="1" t="str">
        <f>HYPERLINK("http://www.stromypodkontrolou.cz/map/?draw_selection_circle=1#%7B%22lat%22%3A%2049.6635301110313%2C%20%22lng%22%3A%2018.6855509858763%2C%20%22zoom%22%3A%2020%7D")</f>
        <v>http://www.stromypodkontrolou.cz/map/?draw_selection_circle=1#%7B%22lat%22%3A%2049.6635301110313%2C%20%22lng%22%3A%2018.6855509858763%2C%20%22zoom%22%3A%2020%7D</v>
      </c>
    </row>
    <row r="317" spans="1:7" ht="12.75">
      <c r="A317" s="1" t="s">
        <v>7</v>
      </c>
      <c r="B317" s="1" t="s">
        <v>8</v>
      </c>
      <c r="C317" s="1" t="s">
        <v>64</v>
      </c>
      <c r="D317" s="1">
        <v>6</v>
      </c>
      <c r="E317" s="1"/>
      <c r="F317" s="1" t="s">
        <v>24</v>
      </c>
      <c r="G317" s="1" t="str">
        <f>HYPERLINK("http://www.stromypodkontrolou.cz/map/?draw_selection_circle=1#%7B%22lat%22%3A%2049.6642096728028%2C%20%22lng%22%3A%2018.6863028700314%2C%20%22zoom%22%3A%2020%7D")</f>
        <v>http://www.stromypodkontrolou.cz/map/?draw_selection_circle=1#%7B%22lat%22%3A%2049.6642096728028%2C%20%22lng%22%3A%2018.6863028700314%2C%20%22zoom%22%3A%2020%7D</v>
      </c>
    </row>
    <row r="318" spans="1:7" ht="12.75">
      <c r="A318" s="1" t="s">
        <v>7</v>
      </c>
      <c r="B318" s="1" t="s">
        <v>8</v>
      </c>
      <c r="C318" s="1" t="s">
        <v>64</v>
      </c>
      <c r="D318" s="1">
        <v>2</v>
      </c>
      <c r="E318" s="1"/>
      <c r="F318" s="1" t="s">
        <v>14</v>
      </c>
      <c r="G318" s="1" t="str">
        <f>HYPERLINK("http://www.stromypodkontrolou.cz/map/?draw_selection_circle=1#%7B%22lat%22%3A%2049.6643284985701%2C%20%22lng%22%3A%2018.6861538103269%2C%20%22zoom%22%3A%2020%7D")</f>
        <v>http://www.stromypodkontrolou.cz/map/?draw_selection_circle=1#%7B%22lat%22%3A%2049.6643284985701%2C%20%22lng%22%3A%2018.6861538103269%2C%20%22zoom%22%3A%2020%7D</v>
      </c>
    </row>
    <row r="319" spans="1:7" ht="12.75">
      <c r="A319" s="1" t="s">
        <v>7</v>
      </c>
      <c r="B319" s="1" t="s">
        <v>8</v>
      </c>
      <c r="C319" s="1" t="s">
        <v>25</v>
      </c>
      <c r="D319" s="1">
        <v>128</v>
      </c>
      <c r="E319" s="1"/>
      <c r="F319" s="1" t="s">
        <v>24</v>
      </c>
      <c r="G319" s="1" t="str">
        <f>HYPERLINK("http://www.stromypodkontrolou.cz/map/?draw_selection_circle=1#%7B%22lat%22%3A%2049.664517991045%2C%20%22lng%22%3A%2018.673287409641%2C%20%22zoom%22%3A%2020%7D")</f>
        <v>http://www.stromypodkontrolou.cz/map/?draw_selection_circle=1#%7B%22lat%22%3A%2049.664517991045%2C%20%22lng%22%3A%2018.673287409641%2C%20%22zoom%22%3A%2020%7D</v>
      </c>
    </row>
    <row r="320" spans="1:7" ht="12.75">
      <c r="A320" s="1" t="s">
        <v>7</v>
      </c>
      <c r="B320" s="1" t="s">
        <v>8</v>
      </c>
      <c r="C320" s="1" t="s">
        <v>124</v>
      </c>
      <c r="D320" s="1">
        <v>26</v>
      </c>
      <c r="E320" s="1"/>
      <c r="F320" s="1" t="s">
        <v>14</v>
      </c>
      <c r="G320" s="1" t="str">
        <f>HYPERLINK("http://www.stromypodkontrolou.cz/map/?draw_selection_circle=1#%7B%22lat%22%3A%2049.6637476371815%2C%20%22lng%22%3A%2018.6866140362483%2C%20%22zoom%22%3A%2020%7D")</f>
        <v>http://www.stromypodkontrolou.cz/map/?draw_selection_circle=1#%7B%22lat%22%3A%2049.6637476371815%2C%20%22lng%22%3A%2018.6866140362483%2C%20%22zoom%22%3A%2020%7D</v>
      </c>
    </row>
    <row r="321" spans="1:7" ht="12.75">
      <c r="A321" s="1" t="s">
        <v>7</v>
      </c>
      <c r="B321" s="1" t="s">
        <v>8</v>
      </c>
      <c r="C321" s="1" t="s">
        <v>38</v>
      </c>
      <c r="D321" s="1">
        <v>114</v>
      </c>
      <c r="E321" s="1"/>
      <c r="F321" s="1" t="s">
        <v>24</v>
      </c>
      <c r="G321" s="1" t="str">
        <f>HYPERLINK("http://www.stromypodkontrolou.cz/map/?draw_selection_circle=1#%7B%22lat%22%3A%2049.6621872815161%2C%20%22lng%22%3A%2018.6785481748209%2C%20%22zoom%22%3A%2020%7D")</f>
        <v>http://www.stromypodkontrolou.cz/map/?draw_selection_circle=1#%7B%22lat%22%3A%2049.6621872815161%2C%20%22lng%22%3A%2018.6785481748209%2C%20%22zoom%22%3A%2020%7D</v>
      </c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549"/>
  <sheetViews>
    <sheetView workbookViewId="0" topLeftCell="C1">
      <selection activeCell="Y2" sqref="Y2:Y3"/>
    </sheetView>
  </sheetViews>
  <sheetFormatPr defaultColWidth="9.140625" defaultRowHeight="12.75"/>
  <cols>
    <col min="1" max="1" width="19.57421875" style="0" customWidth="1"/>
    <col min="2" max="2" width="7.7109375" style="0" customWidth="1"/>
    <col min="3" max="3" width="5.57421875" style="0" customWidth="1"/>
    <col min="4" max="4" width="19.140625" style="0" customWidth="1"/>
    <col min="7" max="7" width="4.8515625" style="0" customWidth="1"/>
    <col min="8" max="8" width="4.7109375" style="0" customWidth="1"/>
    <col min="9" max="9" width="3.57421875" style="0" customWidth="1"/>
    <col min="10" max="10" width="3.8515625" style="0" customWidth="1"/>
    <col min="11" max="11" width="5.140625" style="0" customWidth="1"/>
    <col min="12" max="12" width="3.8515625" style="0" customWidth="1"/>
    <col min="13" max="13" width="4.140625" style="0" customWidth="1"/>
    <col min="14" max="15" width="5.28125" style="0" customWidth="1"/>
    <col min="16" max="16" width="4.7109375" style="0" customWidth="1"/>
  </cols>
  <sheetData>
    <row r="1" spans="1:25" ht="96">
      <c r="A1" s="2" t="s">
        <v>2</v>
      </c>
      <c r="B1" s="2" t="s">
        <v>143</v>
      </c>
      <c r="C1" s="2" t="s">
        <v>4</v>
      </c>
      <c r="D1" s="2" t="s">
        <v>144</v>
      </c>
      <c r="E1" s="2" t="s">
        <v>145</v>
      </c>
      <c r="F1" s="2" t="s">
        <v>146</v>
      </c>
      <c r="G1" s="2" t="s">
        <v>147</v>
      </c>
      <c r="H1" s="2" t="s">
        <v>148</v>
      </c>
      <c r="I1" s="2" t="s">
        <v>149</v>
      </c>
      <c r="J1" s="2" t="s">
        <v>150</v>
      </c>
      <c r="K1" s="2" t="s">
        <v>151</v>
      </c>
      <c r="L1" s="2" t="s">
        <v>152</v>
      </c>
      <c r="M1" s="2" t="s">
        <v>153</v>
      </c>
      <c r="N1" s="2" t="s">
        <v>154</v>
      </c>
      <c r="O1" s="2" t="s">
        <v>155</v>
      </c>
      <c r="P1" s="2" t="s">
        <v>156</v>
      </c>
      <c r="Q1" s="2" t="s">
        <v>157</v>
      </c>
      <c r="R1" s="2" t="s">
        <v>158</v>
      </c>
      <c r="S1" s="2" t="s">
        <v>159</v>
      </c>
      <c r="T1" s="2" t="s">
        <v>160</v>
      </c>
      <c r="U1" s="2" t="s">
        <v>161</v>
      </c>
      <c r="V1" s="2" t="s">
        <v>162</v>
      </c>
      <c r="W1" s="2" t="s">
        <v>163</v>
      </c>
      <c r="X1" s="2" t="s">
        <v>164</v>
      </c>
      <c r="Y1" s="2" t="s">
        <v>6</v>
      </c>
    </row>
    <row r="2" spans="1:25" ht="12.75">
      <c r="A2" s="36" t="s">
        <v>9</v>
      </c>
      <c r="B2" s="36">
        <v>11</v>
      </c>
      <c r="C2" s="36"/>
      <c r="D2" s="36" t="s">
        <v>10</v>
      </c>
      <c r="E2" s="36" t="s">
        <v>165</v>
      </c>
      <c r="F2" s="36">
        <v>5</v>
      </c>
      <c r="G2" s="36">
        <v>3</v>
      </c>
      <c r="H2" s="36"/>
      <c r="I2" s="36"/>
      <c r="J2" s="36">
        <v>16</v>
      </c>
      <c r="K2" s="36">
        <v>9</v>
      </c>
      <c r="L2" s="36"/>
      <c r="M2" s="36"/>
      <c r="N2" s="36">
        <v>5</v>
      </c>
      <c r="O2" s="36">
        <v>1</v>
      </c>
      <c r="P2" s="36">
        <v>2</v>
      </c>
      <c r="Q2" s="36" t="s">
        <v>166</v>
      </c>
      <c r="R2" s="36" t="s">
        <v>167</v>
      </c>
      <c r="S2" s="36" t="s">
        <v>7</v>
      </c>
      <c r="T2" s="36" t="s">
        <v>168</v>
      </c>
      <c r="U2" s="3" t="s">
        <v>169</v>
      </c>
      <c r="V2" s="3" t="s">
        <v>170</v>
      </c>
      <c r="W2" s="3"/>
      <c r="X2" s="3"/>
      <c r="Y2" s="36" t="str">
        <f>HYPERLINK("http://www.stromypodkontrolou.cz/map/?draw_selection_circle=1#%7B%22lat%22%3A%2049.676800985%2C%20%22lng%22%3A%2018.6748648648%2C%20%22zoom%22%3A%2020%7D")</f>
        <v>http://www.stromypodkontrolou.cz/map/?draw_selection_circle=1#%7B%22lat%22%3A%2049.676800985%2C%20%22lng%22%3A%2018.6748648648%2C%20%22zoom%22%3A%2020%7D</v>
      </c>
    </row>
    <row r="3" spans="1:25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" t="s">
        <v>171</v>
      </c>
      <c r="V3" s="3" t="s">
        <v>172</v>
      </c>
      <c r="W3" s="3"/>
      <c r="X3" s="3"/>
      <c r="Y3" s="36"/>
    </row>
    <row r="4" spans="1:25" ht="12.75">
      <c r="A4" s="36" t="s">
        <v>9</v>
      </c>
      <c r="B4" s="36">
        <v>10</v>
      </c>
      <c r="C4" s="36"/>
      <c r="D4" s="36" t="s">
        <v>11</v>
      </c>
      <c r="E4" s="36" t="s">
        <v>173</v>
      </c>
      <c r="F4" s="36">
        <v>4</v>
      </c>
      <c r="G4" s="36">
        <v>4</v>
      </c>
      <c r="H4" s="36">
        <v>4</v>
      </c>
      <c r="I4" s="36">
        <v>3</v>
      </c>
      <c r="J4" s="36">
        <v>13</v>
      </c>
      <c r="K4" s="36">
        <v>13</v>
      </c>
      <c r="L4" s="36">
        <v>13</v>
      </c>
      <c r="M4" s="36">
        <v>9</v>
      </c>
      <c r="N4" s="36">
        <v>4</v>
      </c>
      <c r="O4" s="36">
        <v>0</v>
      </c>
      <c r="P4" s="36">
        <v>3</v>
      </c>
      <c r="Q4" s="36" t="s">
        <v>166</v>
      </c>
      <c r="R4" s="36" t="s">
        <v>174</v>
      </c>
      <c r="S4" s="36" t="s">
        <v>7</v>
      </c>
      <c r="T4" s="36" t="s">
        <v>168</v>
      </c>
      <c r="U4" s="3" t="s">
        <v>169</v>
      </c>
      <c r="V4" s="3" t="s">
        <v>170</v>
      </c>
      <c r="W4" s="3"/>
      <c r="X4" s="3"/>
      <c r="Y4" s="36" t="str">
        <f>HYPERLINK("http://www.stromypodkontrolou.cz/map/?draw_selection_circle=1#%7B%22lat%22%3A%2049.676890588%2C%20%22lng%22%3A%2018.6747652878%2C%20%22zoom%22%3A%2020%7D")</f>
        <v>http://www.stromypodkontrolou.cz/map/?draw_selection_circle=1#%7B%22lat%22%3A%2049.676890588%2C%20%22lng%22%3A%2018.6747652878%2C%20%22zoom%22%3A%2020%7D</v>
      </c>
    </row>
    <row r="5" spans="1:25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" t="s">
        <v>171</v>
      </c>
      <c r="V5" s="3" t="s">
        <v>172</v>
      </c>
      <c r="W5" s="3"/>
      <c r="X5" s="3"/>
      <c r="Y5" s="36"/>
    </row>
    <row r="6" spans="1:25" ht="12.75">
      <c r="A6" s="36" t="s">
        <v>12</v>
      </c>
      <c r="B6" s="36">
        <v>48</v>
      </c>
      <c r="C6" s="36"/>
      <c r="D6" s="36" t="s">
        <v>13</v>
      </c>
      <c r="E6" s="36" t="s">
        <v>175</v>
      </c>
      <c r="F6" s="36">
        <v>16</v>
      </c>
      <c r="G6" s="36"/>
      <c r="H6" s="36"/>
      <c r="I6" s="36"/>
      <c r="J6" s="36">
        <v>50</v>
      </c>
      <c r="K6" s="36"/>
      <c r="L6" s="36"/>
      <c r="M6" s="36"/>
      <c r="N6" s="36">
        <v>10</v>
      </c>
      <c r="O6" s="36">
        <v>1</v>
      </c>
      <c r="P6" s="36">
        <v>4</v>
      </c>
      <c r="Q6" s="36" t="s">
        <v>166</v>
      </c>
      <c r="R6" s="36" t="s">
        <v>176</v>
      </c>
      <c r="S6" s="36" t="s">
        <v>177</v>
      </c>
      <c r="T6" s="36" t="s">
        <v>178</v>
      </c>
      <c r="U6" s="3" t="s">
        <v>169</v>
      </c>
      <c r="V6" s="3" t="s">
        <v>170</v>
      </c>
      <c r="W6" s="3"/>
      <c r="X6" s="3"/>
      <c r="Y6" s="36" t="str">
        <f>HYPERLINK("http://www.stromypodkontrolou.cz/map/?draw_selection_circle=1#%7B%22lat%22%3A%2049.6805365859916%2C%20%22lng%22%3A%2018.6788598850171%2C%20%22zoom%22%3A%2020%7D")</f>
        <v>http://www.stromypodkontrolou.cz/map/?draw_selection_circle=1#%7B%22lat%22%3A%2049.6805365859916%2C%20%22lng%22%3A%2018.6788598850171%2C%20%22zoom%22%3A%2020%7D</v>
      </c>
    </row>
    <row r="7" spans="1:25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" t="s">
        <v>171</v>
      </c>
      <c r="V7" s="3" t="s">
        <v>172</v>
      </c>
      <c r="W7" s="3"/>
      <c r="X7" s="3"/>
      <c r="Y7" s="36"/>
    </row>
    <row r="8" spans="1:25" ht="12.75">
      <c r="A8" s="3" t="s">
        <v>12</v>
      </c>
      <c r="B8" s="3">
        <v>46</v>
      </c>
      <c r="C8" s="3"/>
      <c r="D8" s="3" t="s">
        <v>13</v>
      </c>
      <c r="E8" s="3" t="s">
        <v>175</v>
      </c>
      <c r="F8" s="3">
        <v>19</v>
      </c>
      <c r="G8" s="3"/>
      <c r="H8" s="3"/>
      <c r="I8" s="3"/>
      <c r="J8" s="3">
        <v>60</v>
      </c>
      <c r="K8" s="3"/>
      <c r="L8" s="3"/>
      <c r="M8" s="3"/>
      <c r="N8" s="3">
        <v>10</v>
      </c>
      <c r="O8" s="3">
        <v>2</v>
      </c>
      <c r="P8" s="3">
        <v>6</v>
      </c>
      <c r="Q8" s="3" t="s">
        <v>179</v>
      </c>
      <c r="R8" s="3"/>
      <c r="S8" s="3" t="s">
        <v>177</v>
      </c>
      <c r="T8" s="3" t="s">
        <v>178</v>
      </c>
      <c r="U8" s="3" t="s">
        <v>169</v>
      </c>
      <c r="V8" s="3" t="s">
        <v>170</v>
      </c>
      <c r="W8" s="3"/>
      <c r="X8" s="3"/>
      <c r="Y8" s="3" t="str">
        <f>HYPERLINK("http://www.stromypodkontrolou.cz/map/?draw_selection_circle=1#%7B%22lat%22%3A%2049.680497598601%2C%20%22lng%22%3A%2018.6788223869253%2C%20%22zoom%22%3A%2020%7D")</f>
        <v>http://www.stromypodkontrolou.cz/map/?draw_selection_circle=1#%7B%22lat%22%3A%2049.680497598601%2C%20%22lng%22%3A%2018.6788223869253%2C%20%22zoom%22%3A%2020%7D</v>
      </c>
    </row>
    <row r="9" spans="1:25" ht="12.75">
      <c r="A9" s="3" t="s">
        <v>12</v>
      </c>
      <c r="B9" s="3">
        <v>31</v>
      </c>
      <c r="C9" s="3"/>
      <c r="D9" s="3" t="s">
        <v>14</v>
      </c>
      <c r="E9" s="3" t="s">
        <v>180</v>
      </c>
      <c r="F9" s="3">
        <v>25</v>
      </c>
      <c r="G9" s="3"/>
      <c r="H9" s="3"/>
      <c r="I9" s="3"/>
      <c r="J9" s="3">
        <v>79</v>
      </c>
      <c r="K9" s="3"/>
      <c r="L9" s="3"/>
      <c r="M9" s="3"/>
      <c r="N9" s="3">
        <v>14</v>
      </c>
      <c r="O9" s="3">
        <v>4</v>
      </c>
      <c r="P9" s="3">
        <v>6</v>
      </c>
      <c r="Q9" s="3" t="s">
        <v>181</v>
      </c>
      <c r="R9" s="3" t="s">
        <v>182</v>
      </c>
      <c r="S9" s="3" t="s">
        <v>177</v>
      </c>
      <c r="T9" s="3" t="s">
        <v>178</v>
      </c>
      <c r="U9" s="3" t="s">
        <v>169</v>
      </c>
      <c r="V9" s="3" t="s">
        <v>170</v>
      </c>
      <c r="W9" s="3"/>
      <c r="X9" s="3"/>
      <c r="Y9" s="3" t="str">
        <f>HYPERLINK("http://www.stromypodkontrolou.cz/map/?draw_selection_circle=1#%7B%22lat%22%3A%2049.6805512741652%2C%20%22lng%22%3A%2018.677999628743%2C%20%22zoom%22%3A%2020%7D")</f>
        <v>http://www.stromypodkontrolou.cz/map/?draw_selection_circle=1#%7B%22lat%22%3A%2049.6805512741652%2C%20%22lng%22%3A%2018.677999628743%2C%20%22zoom%22%3A%2020%7D</v>
      </c>
    </row>
    <row r="10" spans="1:25" ht="12.75">
      <c r="A10" s="3" t="s">
        <v>12</v>
      </c>
      <c r="B10" s="3">
        <v>37</v>
      </c>
      <c r="C10" s="3"/>
      <c r="D10" s="3" t="s">
        <v>15</v>
      </c>
      <c r="E10" s="3" t="s">
        <v>183</v>
      </c>
      <c r="F10" s="3">
        <v>23</v>
      </c>
      <c r="G10" s="3"/>
      <c r="H10" s="3"/>
      <c r="I10" s="3"/>
      <c r="J10" s="3">
        <v>72</v>
      </c>
      <c r="K10" s="3"/>
      <c r="L10" s="3"/>
      <c r="M10" s="3"/>
      <c r="N10" s="3">
        <v>16</v>
      </c>
      <c r="O10" s="3">
        <v>1</v>
      </c>
      <c r="P10" s="3">
        <v>8</v>
      </c>
      <c r="Q10" s="3" t="s">
        <v>181</v>
      </c>
      <c r="R10" s="3" t="s">
        <v>184</v>
      </c>
      <c r="S10" s="3" t="s">
        <v>177</v>
      </c>
      <c r="T10" s="3" t="s">
        <v>178</v>
      </c>
      <c r="U10" s="3" t="s">
        <v>169</v>
      </c>
      <c r="V10" s="3" t="s">
        <v>170</v>
      </c>
      <c r="W10" s="3"/>
      <c r="X10" s="3"/>
      <c r="Y10" s="3" t="str">
        <f>HYPERLINK("http://www.stromypodkontrolou.cz/map/?draw_selection_circle=1#%7B%22lat%22%3A%2049.6804285866%2C%20%22lng%22%3A%2018.6782578198%2C%20%22zoom%22%3A%2020%7D")</f>
        <v>http://www.stromypodkontrolou.cz/map/?draw_selection_circle=1#%7B%22lat%22%3A%2049.6804285866%2C%20%22lng%22%3A%2018.6782578198%2C%20%22zoom%22%3A%2020%7D</v>
      </c>
    </row>
    <row r="11" spans="1:25" ht="12.75">
      <c r="A11" s="36" t="s">
        <v>16</v>
      </c>
      <c r="B11" s="36">
        <v>75</v>
      </c>
      <c r="C11" s="36"/>
      <c r="D11" s="36" t="s">
        <v>17</v>
      </c>
      <c r="E11" s="36" t="s">
        <v>185</v>
      </c>
      <c r="F11" s="36">
        <v>21</v>
      </c>
      <c r="G11" s="36"/>
      <c r="H11" s="36"/>
      <c r="I11" s="36"/>
      <c r="J11" s="36">
        <v>66</v>
      </c>
      <c r="K11" s="36"/>
      <c r="L11" s="36"/>
      <c r="M11" s="36"/>
      <c r="N11" s="36">
        <v>4</v>
      </c>
      <c r="O11" s="36">
        <v>2</v>
      </c>
      <c r="P11" s="36">
        <v>6</v>
      </c>
      <c r="Q11" s="36" t="s">
        <v>166</v>
      </c>
      <c r="R11" s="36" t="s">
        <v>186</v>
      </c>
      <c r="S11" s="36" t="s">
        <v>7</v>
      </c>
      <c r="T11" s="36" t="s">
        <v>187</v>
      </c>
      <c r="U11" s="3" t="s">
        <v>169</v>
      </c>
      <c r="V11" s="3" t="s">
        <v>170</v>
      </c>
      <c r="W11" s="3"/>
      <c r="X11" s="3"/>
      <c r="Y11" s="36" t="str">
        <f>HYPERLINK("http://www.stromypodkontrolou.cz/map/?draw_selection_circle=1#%7B%22lat%22%3A%2049.6711094558755%2C%20%22lng%22%3A%2018.6692078889121%2C%20%22zoom%22%3A%2020%7D")</f>
        <v>http://www.stromypodkontrolou.cz/map/?draw_selection_circle=1#%7B%22lat%22%3A%2049.6711094558755%2C%20%22lng%22%3A%2018.6692078889121%2C%20%22zoom%22%3A%2020%7D</v>
      </c>
    </row>
    <row r="12" spans="1:25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" t="s">
        <v>171</v>
      </c>
      <c r="V12" s="3" t="s">
        <v>172</v>
      </c>
      <c r="W12" s="3"/>
      <c r="X12" s="3"/>
      <c r="Y12" s="36"/>
    </row>
    <row r="13" spans="1:25" ht="12.75">
      <c r="A13" s="36" t="s">
        <v>18</v>
      </c>
      <c r="B13" s="36">
        <v>17</v>
      </c>
      <c r="C13" s="36"/>
      <c r="D13" s="36" t="s">
        <v>17</v>
      </c>
      <c r="E13" s="36" t="s">
        <v>185</v>
      </c>
      <c r="F13" s="36">
        <v>21</v>
      </c>
      <c r="G13" s="36"/>
      <c r="H13" s="36"/>
      <c r="I13" s="36"/>
      <c r="J13" s="36">
        <v>66</v>
      </c>
      <c r="K13" s="36"/>
      <c r="L13" s="36"/>
      <c r="M13" s="36"/>
      <c r="N13" s="36">
        <v>5</v>
      </c>
      <c r="O13" s="36">
        <v>2</v>
      </c>
      <c r="P13" s="36">
        <v>6</v>
      </c>
      <c r="Q13" s="36" t="s">
        <v>166</v>
      </c>
      <c r="R13" s="36" t="s">
        <v>188</v>
      </c>
      <c r="S13" s="36" t="s">
        <v>189</v>
      </c>
      <c r="T13" s="36" t="s">
        <v>190</v>
      </c>
      <c r="U13" s="3" t="s">
        <v>191</v>
      </c>
      <c r="V13" s="3" t="s">
        <v>192</v>
      </c>
      <c r="W13" s="3"/>
      <c r="X13" s="3"/>
      <c r="Y13" s="36" t="str">
        <f>HYPERLINK("http://www.stromypodkontrolou.cz/map/?draw_selection_circle=1#%7B%22lat%22%3A%2049.6672559372%2C%20%22lng%22%3A%2018.682710849%2C%20%22zoom%22%3A%2020%7D")</f>
        <v>http://www.stromypodkontrolou.cz/map/?draw_selection_circle=1#%7B%22lat%22%3A%2049.6672559372%2C%20%22lng%22%3A%2018.682710849%2C%20%22zoom%22%3A%2020%7D</v>
      </c>
    </row>
    <row r="14" spans="1:25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" t="s">
        <v>171</v>
      </c>
      <c r="V14" s="3" t="s">
        <v>172</v>
      </c>
      <c r="W14" s="3"/>
      <c r="X14" s="3"/>
      <c r="Y14" s="36"/>
    </row>
    <row r="15" spans="1:25" ht="12.75">
      <c r="A15" s="36" t="s">
        <v>18</v>
      </c>
      <c r="B15" s="36">
        <v>6</v>
      </c>
      <c r="C15" s="36"/>
      <c r="D15" s="36" t="s">
        <v>17</v>
      </c>
      <c r="E15" s="36" t="s">
        <v>185</v>
      </c>
      <c r="F15" s="36">
        <v>17</v>
      </c>
      <c r="G15" s="36"/>
      <c r="H15" s="36"/>
      <c r="I15" s="36"/>
      <c r="J15" s="36">
        <v>53</v>
      </c>
      <c r="K15" s="36"/>
      <c r="L15" s="36"/>
      <c r="M15" s="36"/>
      <c r="N15" s="36">
        <v>4</v>
      </c>
      <c r="O15" s="36">
        <v>2</v>
      </c>
      <c r="P15" s="36">
        <v>6</v>
      </c>
      <c r="Q15" s="36" t="s">
        <v>181</v>
      </c>
      <c r="R15" s="36"/>
      <c r="S15" s="36" t="s">
        <v>189</v>
      </c>
      <c r="T15" s="36" t="s">
        <v>190</v>
      </c>
      <c r="U15" s="3" t="s">
        <v>191</v>
      </c>
      <c r="V15" s="3" t="s">
        <v>192</v>
      </c>
      <c r="W15" s="3"/>
      <c r="X15" s="3"/>
      <c r="Y15" s="36" t="str">
        <f>HYPERLINK("http://www.stromypodkontrolou.cz/map/?draw_selection_circle=1#%7B%22lat%22%3A%2049.66698323%2C%20%22lng%22%3A%2018.6819407899%2C%20%22zoom%22%3A%2020%7D")</f>
        <v>http://www.stromypodkontrolou.cz/map/?draw_selection_circle=1#%7B%22lat%22%3A%2049.66698323%2C%20%22lng%22%3A%2018.6819407899%2C%20%22zoom%22%3A%2020%7D</v>
      </c>
    </row>
    <row r="16" spans="1:25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" t="s">
        <v>171</v>
      </c>
      <c r="V16" s="3" t="s">
        <v>172</v>
      </c>
      <c r="W16" s="3"/>
      <c r="X16" s="3"/>
      <c r="Y16" s="36"/>
    </row>
    <row r="17" spans="1:25" ht="12.75">
      <c r="A17" s="36" t="s">
        <v>19</v>
      </c>
      <c r="B17" s="36">
        <v>39</v>
      </c>
      <c r="C17" s="36"/>
      <c r="D17" s="36" t="s">
        <v>14</v>
      </c>
      <c r="E17" s="36" t="s">
        <v>180</v>
      </c>
      <c r="F17" s="36">
        <v>11</v>
      </c>
      <c r="G17" s="36"/>
      <c r="H17" s="36"/>
      <c r="I17" s="36"/>
      <c r="J17" s="36">
        <v>35</v>
      </c>
      <c r="K17" s="36"/>
      <c r="L17" s="36"/>
      <c r="M17" s="36"/>
      <c r="N17" s="36">
        <v>8</v>
      </c>
      <c r="O17" s="36">
        <v>3</v>
      </c>
      <c r="P17" s="36">
        <v>2</v>
      </c>
      <c r="Q17" s="36" t="s">
        <v>181</v>
      </c>
      <c r="R17" s="36" t="s">
        <v>193</v>
      </c>
      <c r="S17" s="36" t="s">
        <v>7</v>
      </c>
      <c r="T17" s="36" t="s">
        <v>194</v>
      </c>
      <c r="U17" s="3" t="s">
        <v>169</v>
      </c>
      <c r="V17" s="3" t="s">
        <v>170</v>
      </c>
      <c r="W17" s="3"/>
      <c r="X17" s="3"/>
      <c r="Y17" s="36" t="str">
        <f>HYPERLINK("http://www.stromypodkontrolou.cz/map/?draw_selection_circle=1#%7B%22lat%22%3A%2049.6702689999%2C%20%22lng%22%3A%2018.6624017465%2C%20%22zoom%22%3A%2020%7D")</f>
        <v>http://www.stromypodkontrolou.cz/map/?draw_selection_circle=1#%7B%22lat%22%3A%2049.6702689999%2C%20%22lng%22%3A%2018.6624017465%2C%20%22zoom%22%3A%2020%7D</v>
      </c>
    </row>
    <row r="18" spans="1:2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" t="s">
        <v>171</v>
      </c>
      <c r="V18" s="3" t="s">
        <v>172</v>
      </c>
      <c r="W18" s="3"/>
      <c r="X18" s="3"/>
      <c r="Y18" s="36"/>
    </row>
    <row r="19" spans="1:25" ht="12.75">
      <c r="A19" s="36" t="s">
        <v>19</v>
      </c>
      <c r="B19" s="36">
        <v>28</v>
      </c>
      <c r="C19" s="36"/>
      <c r="D19" s="36" t="s">
        <v>20</v>
      </c>
      <c r="E19" s="36" t="s">
        <v>195</v>
      </c>
      <c r="F19" s="36">
        <v>14</v>
      </c>
      <c r="G19" s="36"/>
      <c r="H19" s="36"/>
      <c r="I19" s="36"/>
      <c r="J19" s="36">
        <v>44</v>
      </c>
      <c r="K19" s="36"/>
      <c r="L19" s="36"/>
      <c r="M19" s="36"/>
      <c r="N19" s="36">
        <v>9</v>
      </c>
      <c r="O19" s="36">
        <v>2</v>
      </c>
      <c r="P19" s="36">
        <v>4</v>
      </c>
      <c r="Q19" s="36" t="s">
        <v>179</v>
      </c>
      <c r="R19" s="36" t="s">
        <v>196</v>
      </c>
      <c r="S19" s="36" t="s">
        <v>7</v>
      </c>
      <c r="T19" s="36" t="s">
        <v>194</v>
      </c>
      <c r="U19" s="3" t="s">
        <v>169</v>
      </c>
      <c r="V19" s="3" t="s">
        <v>170</v>
      </c>
      <c r="W19" s="3"/>
      <c r="X19" s="3"/>
      <c r="Y19" s="36" t="str">
        <f>HYPERLINK("http://www.stromypodkontrolou.cz/map/?draw_selection_circle=1#%7B%22lat%22%3A%2049.6702190275%2C%20%22lng%22%3A%2018.6623589058%2C%20%22zoom%22%3A%2020%7D")</f>
        <v>http://www.stromypodkontrolou.cz/map/?draw_selection_circle=1#%7B%22lat%22%3A%2049.6702190275%2C%20%22lng%22%3A%2018.6623589058%2C%20%22zoom%22%3A%2020%7D</v>
      </c>
    </row>
    <row r="20" spans="1:25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" t="s">
        <v>171</v>
      </c>
      <c r="V20" s="3" t="s">
        <v>172</v>
      </c>
      <c r="W20" s="3"/>
      <c r="X20" s="3"/>
      <c r="Y20" s="36"/>
    </row>
    <row r="21" spans="1:25" ht="12.75">
      <c r="A21" s="36" t="s">
        <v>19</v>
      </c>
      <c r="B21" s="36">
        <v>45</v>
      </c>
      <c r="C21" s="36"/>
      <c r="D21" s="36" t="s">
        <v>21</v>
      </c>
      <c r="E21" s="36" t="s">
        <v>197</v>
      </c>
      <c r="F21" s="36">
        <v>23</v>
      </c>
      <c r="G21" s="36"/>
      <c r="H21" s="36"/>
      <c r="I21" s="36"/>
      <c r="J21" s="36">
        <v>72</v>
      </c>
      <c r="K21" s="36"/>
      <c r="L21" s="36"/>
      <c r="M21" s="36"/>
      <c r="N21" s="36">
        <v>14</v>
      </c>
      <c r="O21" s="36">
        <v>5</v>
      </c>
      <c r="P21" s="36">
        <v>7</v>
      </c>
      <c r="Q21" s="36" t="s">
        <v>166</v>
      </c>
      <c r="R21" s="36" t="s">
        <v>196</v>
      </c>
      <c r="S21" s="36" t="s">
        <v>7</v>
      </c>
      <c r="T21" s="36" t="s">
        <v>194</v>
      </c>
      <c r="U21" s="3" t="s">
        <v>171</v>
      </c>
      <c r="V21" s="3" t="s">
        <v>172</v>
      </c>
      <c r="W21" s="3"/>
      <c r="X21" s="3"/>
      <c r="Y21" s="36" t="str">
        <f>HYPERLINK("http://www.stromypodkontrolou.cz/map/?draw_selection_circle=1#%7B%22lat%22%3A%2049.6704185525%2C%20%22lng%22%3A%2018.6622959549%2C%20%22zoom%22%3A%2020%7D")</f>
        <v>http://www.stromypodkontrolou.cz/map/?draw_selection_circle=1#%7B%22lat%22%3A%2049.6704185525%2C%20%22lng%22%3A%2018.6622959549%2C%20%22zoom%22%3A%2020%7D</v>
      </c>
    </row>
    <row r="22" spans="1:25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" t="s">
        <v>191</v>
      </c>
      <c r="V22" s="3" t="s">
        <v>192</v>
      </c>
      <c r="W22" s="3"/>
      <c r="X22" s="3"/>
      <c r="Y22" s="36"/>
    </row>
    <row r="23" spans="1:25" ht="12.75">
      <c r="A23" s="3" t="s">
        <v>22</v>
      </c>
      <c r="B23" s="3">
        <v>223</v>
      </c>
      <c r="C23" s="3"/>
      <c r="D23" s="3" t="s">
        <v>23</v>
      </c>
      <c r="E23" s="3" t="s">
        <v>198</v>
      </c>
      <c r="F23" s="3">
        <v>19</v>
      </c>
      <c r="G23" s="3"/>
      <c r="H23" s="3"/>
      <c r="I23" s="3"/>
      <c r="J23" s="3">
        <v>60</v>
      </c>
      <c r="K23" s="3"/>
      <c r="L23" s="3"/>
      <c r="M23" s="3"/>
      <c r="N23" s="3">
        <v>14</v>
      </c>
      <c r="O23" s="3">
        <v>5</v>
      </c>
      <c r="P23" s="3">
        <v>4</v>
      </c>
      <c r="Q23" s="3" t="s">
        <v>166</v>
      </c>
      <c r="R23" s="3" t="s">
        <v>199</v>
      </c>
      <c r="S23" s="3" t="s">
        <v>189</v>
      </c>
      <c r="T23" s="3"/>
      <c r="U23" s="3" t="s">
        <v>169</v>
      </c>
      <c r="V23" s="3" t="s">
        <v>170</v>
      </c>
      <c r="W23" s="3"/>
      <c r="X23" s="3"/>
      <c r="Y23" s="3" t="str">
        <f>HYPERLINK("http://www.stromypodkontrolou.cz/map/?draw_selection_circle=1#%7B%22lat%22%3A%2049.6686544371672%2C%20%22lng%22%3A%2018.6712619768685%2C%20%22zoom%22%3A%2020%7D")</f>
        <v>http://www.stromypodkontrolou.cz/map/?draw_selection_circle=1#%7B%22lat%22%3A%2049.6686544371672%2C%20%22lng%22%3A%2018.6712619768685%2C%20%22zoom%22%3A%2020%7D</v>
      </c>
    </row>
    <row r="24" spans="1:25" ht="12.75">
      <c r="A24" s="3" t="s">
        <v>22</v>
      </c>
      <c r="B24" s="3">
        <v>232</v>
      </c>
      <c r="C24" s="3"/>
      <c r="D24" s="3" t="s">
        <v>24</v>
      </c>
      <c r="E24" s="3" t="s">
        <v>200</v>
      </c>
      <c r="F24" s="3">
        <v>24</v>
      </c>
      <c r="G24" s="3"/>
      <c r="H24" s="3"/>
      <c r="I24" s="3"/>
      <c r="J24" s="3">
        <v>75</v>
      </c>
      <c r="K24" s="3"/>
      <c r="L24" s="3"/>
      <c r="M24" s="3"/>
      <c r="N24" s="3">
        <v>14</v>
      </c>
      <c r="O24" s="3">
        <v>3</v>
      </c>
      <c r="P24" s="3">
        <v>4</v>
      </c>
      <c r="Q24" s="3" t="s">
        <v>166</v>
      </c>
      <c r="R24" s="3" t="s">
        <v>199</v>
      </c>
      <c r="S24" s="3" t="s">
        <v>189</v>
      </c>
      <c r="T24" s="3"/>
      <c r="U24" s="3" t="s">
        <v>169</v>
      </c>
      <c r="V24" s="3" t="s">
        <v>170</v>
      </c>
      <c r="W24" s="3"/>
      <c r="X24" s="3"/>
      <c r="Y24" s="3" t="str">
        <f>HYPERLINK("http://www.stromypodkontrolou.cz/map/?draw_selection_circle=1#%7B%22lat%22%3A%2049.6687421022689%2C%20%22lng%22%3A%2018.6710152136472%2C%20%22zoom%22%3A%2020%7D")</f>
        <v>http://www.stromypodkontrolou.cz/map/?draw_selection_circle=1#%7B%22lat%22%3A%2049.6687421022689%2C%20%22lng%22%3A%2018.6710152136472%2C%20%22zoom%22%3A%2020%7D</v>
      </c>
    </row>
    <row r="25" spans="1:25" ht="12.75">
      <c r="A25" s="3" t="s">
        <v>22</v>
      </c>
      <c r="B25" s="3">
        <v>227</v>
      </c>
      <c r="C25" s="3"/>
      <c r="D25" s="3" t="s">
        <v>24</v>
      </c>
      <c r="E25" s="3" t="s">
        <v>200</v>
      </c>
      <c r="F25" s="3">
        <v>24</v>
      </c>
      <c r="G25" s="3"/>
      <c r="H25" s="3"/>
      <c r="I25" s="3"/>
      <c r="J25" s="3">
        <v>75</v>
      </c>
      <c r="K25" s="3"/>
      <c r="L25" s="3"/>
      <c r="M25" s="3"/>
      <c r="N25" s="3">
        <v>8</v>
      </c>
      <c r="O25" s="3">
        <v>2</v>
      </c>
      <c r="P25" s="3">
        <v>5</v>
      </c>
      <c r="Q25" s="3" t="s">
        <v>181</v>
      </c>
      <c r="R25" s="3" t="s">
        <v>201</v>
      </c>
      <c r="S25" s="3" t="s">
        <v>189</v>
      </c>
      <c r="T25" s="3"/>
      <c r="U25" s="3" t="s">
        <v>169</v>
      </c>
      <c r="V25" s="3" t="s">
        <v>170</v>
      </c>
      <c r="W25" s="3"/>
      <c r="X25" s="3"/>
      <c r="Y25" s="3" t="str">
        <f>HYPERLINK("http://www.stromypodkontrolou.cz/map/?draw_selection_circle=1#%7B%22lat%22%3A%2049.6687151951793%2C%20%22lng%22%3A%2018.6711278664243%2C%20%22zoom%22%3A%2020%7D")</f>
        <v>http://www.stromypodkontrolou.cz/map/?draw_selection_circle=1#%7B%22lat%22%3A%2049.6687151951793%2C%20%22lng%22%3A%2018.6711278664243%2C%20%22zoom%22%3A%2020%7D</v>
      </c>
    </row>
    <row r="26" spans="1:25" ht="12.75">
      <c r="A26" s="36" t="s">
        <v>25</v>
      </c>
      <c r="B26" s="36">
        <v>120</v>
      </c>
      <c r="C26" s="36"/>
      <c r="D26" s="36" t="s">
        <v>21</v>
      </c>
      <c r="E26" s="36" t="s">
        <v>197</v>
      </c>
      <c r="F26" s="36">
        <v>41</v>
      </c>
      <c r="G26" s="36"/>
      <c r="H26" s="36"/>
      <c r="I26" s="36"/>
      <c r="J26" s="36">
        <v>129</v>
      </c>
      <c r="K26" s="36"/>
      <c r="L26" s="36"/>
      <c r="M26" s="36"/>
      <c r="N26" s="36">
        <v>22</v>
      </c>
      <c r="O26" s="36">
        <v>2</v>
      </c>
      <c r="P26" s="36">
        <v>7</v>
      </c>
      <c r="Q26" s="36" t="s">
        <v>181</v>
      </c>
      <c r="R26" s="36" t="s">
        <v>202</v>
      </c>
      <c r="S26" s="36" t="s">
        <v>189</v>
      </c>
      <c r="T26" s="36" t="s">
        <v>203</v>
      </c>
      <c r="U26" s="3" t="s">
        <v>191</v>
      </c>
      <c r="V26" s="3" t="s">
        <v>192</v>
      </c>
      <c r="W26" s="3"/>
      <c r="X26" s="3"/>
      <c r="Y26" s="36" t="str">
        <f>HYPERLINK("http://www.stromypodkontrolou.cz/map/?draw_selection_circle=1#%7B%22lat%22%3A%2049.6648570165991%2C%20%22lng%22%3A%2018.6730583232652%2C%20%22zoom%22%3A%2020%7D")</f>
        <v>http://www.stromypodkontrolou.cz/map/?draw_selection_circle=1#%7B%22lat%22%3A%2049.6648570165991%2C%20%22lng%22%3A%2018.6730583232652%2C%20%22zoom%22%3A%2020%7D</v>
      </c>
    </row>
    <row r="27" spans="1:25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" t="s">
        <v>171</v>
      </c>
      <c r="V27" s="3" t="s">
        <v>172</v>
      </c>
      <c r="W27" s="3"/>
      <c r="X27" s="3"/>
      <c r="Y27" s="36"/>
    </row>
    <row r="28" spans="1:25" ht="12.75">
      <c r="A28" s="36" t="s">
        <v>26</v>
      </c>
      <c r="B28" s="36">
        <v>207</v>
      </c>
      <c r="C28" s="36"/>
      <c r="D28" s="36" t="s">
        <v>27</v>
      </c>
      <c r="E28" s="36" t="s">
        <v>204</v>
      </c>
      <c r="F28" s="36">
        <v>23</v>
      </c>
      <c r="G28" s="36"/>
      <c r="H28" s="36"/>
      <c r="I28" s="36"/>
      <c r="J28" s="36">
        <v>72</v>
      </c>
      <c r="K28" s="36"/>
      <c r="L28" s="36"/>
      <c r="M28" s="36"/>
      <c r="N28" s="36">
        <v>11</v>
      </c>
      <c r="O28" s="36">
        <v>0</v>
      </c>
      <c r="P28" s="36">
        <v>5</v>
      </c>
      <c r="Q28" s="36" t="s">
        <v>179</v>
      </c>
      <c r="R28" s="36" t="s">
        <v>205</v>
      </c>
      <c r="S28" s="36" t="s">
        <v>189</v>
      </c>
      <c r="T28" s="36" t="s">
        <v>206</v>
      </c>
      <c r="U28" s="3" t="s">
        <v>169</v>
      </c>
      <c r="V28" s="3" t="s">
        <v>170</v>
      </c>
      <c r="W28" s="3"/>
      <c r="X28" s="3"/>
      <c r="Y28" s="36" t="str">
        <f>HYPERLINK("http://www.stromypodkontrolou.cz/map/?draw_selection_circle=1#%7B%22lat%22%3A%2049.664720595%2C%20%22lng%22%3A%2018.6738498872%2C%20%22zoom%22%3A%2020%7D")</f>
        <v>http://www.stromypodkontrolou.cz/map/?draw_selection_circle=1#%7B%22lat%22%3A%2049.664720595%2C%20%22lng%22%3A%2018.6738498872%2C%20%22zoom%22%3A%2020%7D</v>
      </c>
    </row>
    <row r="29" spans="1:2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" t="s">
        <v>171</v>
      </c>
      <c r="V29" s="3" t="s">
        <v>172</v>
      </c>
      <c r="W29" s="3"/>
      <c r="X29" s="3"/>
      <c r="Y29" s="36"/>
    </row>
    <row r="30" spans="1:25" ht="12.75">
      <c r="A30" s="3" t="s">
        <v>22</v>
      </c>
      <c r="B30" s="3">
        <v>80</v>
      </c>
      <c r="C30" s="3"/>
      <c r="D30" s="3" t="s">
        <v>28</v>
      </c>
      <c r="E30" s="3" t="s">
        <v>207</v>
      </c>
      <c r="F30" s="3">
        <v>9</v>
      </c>
      <c r="G30" s="3">
        <v>8</v>
      </c>
      <c r="H30" s="3">
        <v>6</v>
      </c>
      <c r="I30" s="3"/>
      <c r="J30" s="3">
        <v>28</v>
      </c>
      <c r="K30" s="3">
        <v>25</v>
      </c>
      <c r="L30" s="3">
        <v>19</v>
      </c>
      <c r="M30" s="3"/>
      <c r="N30" s="3">
        <v>4</v>
      </c>
      <c r="O30" s="3">
        <v>0</v>
      </c>
      <c r="P30" s="3">
        <v>4</v>
      </c>
      <c r="Q30" s="3" t="s">
        <v>181</v>
      </c>
      <c r="R30" s="3" t="s">
        <v>208</v>
      </c>
      <c r="S30" s="3" t="s">
        <v>189</v>
      </c>
      <c r="T30" s="3" t="s">
        <v>209</v>
      </c>
      <c r="U30" s="3" t="s">
        <v>169</v>
      </c>
      <c r="V30" s="3" t="s">
        <v>170</v>
      </c>
      <c r="W30" s="3"/>
      <c r="X30" s="3"/>
      <c r="Y30" s="3" t="str">
        <f>HYPERLINK("http://www.stromypodkontrolou.cz/map/?draw_selection_circle=1#%7B%22lat%22%3A%2049.670357981%2C%20%22lng%22%3A%2018.6721894666%2C%20%22zoom%22%3A%2020%7D")</f>
        <v>http://www.stromypodkontrolou.cz/map/?draw_selection_circle=1#%7B%22lat%22%3A%2049.670357981%2C%20%22lng%22%3A%2018.6721894666%2C%20%22zoom%22%3A%2020%7D</v>
      </c>
    </row>
    <row r="31" spans="1:25" ht="12.75">
      <c r="A31" s="36" t="s">
        <v>29</v>
      </c>
      <c r="B31" s="36">
        <v>11</v>
      </c>
      <c r="C31" s="36"/>
      <c r="D31" s="36" t="s">
        <v>21</v>
      </c>
      <c r="E31" s="36" t="s">
        <v>197</v>
      </c>
      <c r="F31" s="36">
        <v>21</v>
      </c>
      <c r="G31" s="36"/>
      <c r="H31" s="36"/>
      <c r="I31" s="36"/>
      <c r="J31" s="36">
        <v>66</v>
      </c>
      <c r="K31" s="36"/>
      <c r="L31" s="36"/>
      <c r="M31" s="36"/>
      <c r="N31" s="36">
        <v>14</v>
      </c>
      <c r="O31" s="36">
        <v>3</v>
      </c>
      <c r="P31" s="36">
        <v>4</v>
      </c>
      <c r="Q31" s="36" t="s">
        <v>179</v>
      </c>
      <c r="R31" s="36" t="s">
        <v>196</v>
      </c>
      <c r="S31" s="36" t="s">
        <v>7</v>
      </c>
      <c r="T31" s="36" t="s">
        <v>210</v>
      </c>
      <c r="U31" s="3" t="s">
        <v>191</v>
      </c>
      <c r="V31" s="3" t="s">
        <v>192</v>
      </c>
      <c r="W31" s="3"/>
      <c r="X31" s="3"/>
      <c r="Y31" s="36" t="str">
        <f>HYPERLINK("http://www.stromypodkontrolou.cz/map/?draw_selection_circle=1#%7B%22lat%22%3A%2049.6750281798%2C%20%22lng%22%3A%2018.6679566133%2C%20%22zoom%22%3A%2020%7D")</f>
        <v>http://www.stromypodkontrolou.cz/map/?draw_selection_circle=1#%7B%22lat%22%3A%2049.6750281798%2C%20%22lng%22%3A%2018.6679566133%2C%20%22zoom%22%3A%2020%7D</v>
      </c>
    </row>
    <row r="32" spans="1:2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" t="s">
        <v>171</v>
      </c>
      <c r="V32" s="3" t="s">
        <v>172</v>
      </c>
      <c r="W32" s="3"/>
      <c r="X32" s="3"/>
      <c r="Y32" s="36"/>
    </row>
    <row r="33" spans="1:25" ht="12.75">
      <c r="A33" s="36" t="s">
        <v>12</v>
      </c>
      <c r="B33" s="36">
        <v>402</v>
      </c>
      <c r="C33" s="36"/>
      <c r="D33" s="36" t="s">
        <v>30</v>
      </c>
      <c r="E33" s="36" t="s">
        <v>211</v>
      </c>
      <c r="F33" s="36">
        <v>22</v>
      </c>
      <c r="G33" s="36"/>
      <c r="H33" s="36"/>
      <c r="I33" s="36"/>
      <c r="J33" s="36">
        <v>69</v>
      </c>
      <c r="K33" s="36"/>
      <c r="L33" s="36"/>
      <c r="M33" s="36"/>
      <c r="N33" s="36">
        <v>13</v>
      </c>
      <c r="O33" s="36">
        <v>1</v>
      </c>
      <c r="P33" s="36">
        <v>5</v>
      </c>
      <c r="Q33" s="36" t="s">
        <v>179</v>
      </c>
      <c r="R33" s="36" t="s">
        <v>196</v>
      </c>
      <c r="S33" s="36" t="s">
        <v>177</v>
      </c>
      <c r="T33" s="36" t="s">
        <v>212</v>
      </c>
      <c r="U33" s="3" t="s">
        <v>169</v>
      </c>
      <c r="V33" s="3" t="s">
        <v>170</v>
      </c>
      <c r="W33" s="3"/>
      <c r="X33" s="3"/>
      <c r="Y33" s="36" t="str">
        <f>HYPERLINK("http://www.stromypodkontrolou.cz/map/?draw_selection_circle=1#%7B%22lat%22%3A%2049.6790117605%2C%20%22lng%22%3A%2018.6845602376%2C%20%22zoom%22%3A%2020%7D")</f>
        <v>http://www.stromypodkontrolou.cz/map/?draw_selection_circle=1#%7B%22lat%22%3A%2049.6790117605%2C%20%22lng%22%3A%2018.6845602376%2C%20%22zoom%22%3A%2020%7D</v>
      </c>
    </row>
    <row r="34" spans="1:2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" t="s">
        <v>171</v>
      </c>
      <c r="V34" s="3" t="s">
        <v>172</v>
      </c>
      <c r="W34" s="3"/>
      <c r="X34" s="3"/>
      <c r="Y34" s="36"/>
    </row>
    <row r="35" spans="1:25" ht="12.75">
      <c r="A35" s="36" t="s">
        <v>12</v>
      </c>
      <c r="B35" s="36">
        <v>343</v>
      </c>
      <c r="C35" s="36"/>
      <c r="D35" s="36" t="s">
        <v>31</v>
      </c>
      <c r="E35" s="36" t="s">
        <v>213</v>
      </c>
      <c r="F35" s="36">
        <v>21</v>
      </c>
      <c r="G35" s="36">
        <v>20</v>
      </c>
      <c r="H35" s="36"/>
      <c r="I35" s="36"/>
      <c r="J35" s="36">
        <v>66</v>
      </c>
      <c r="K35" s="36">
        <v>63</v>
      </c>
      <c r="L35" s="36"/>
      <c r="M35" s="36"/>
      <c r="N35" s="36">
        <v>11</v>
      </c>
      <c r="O35" s="36">
        <v>0</v>
      </c>
      <c r="P35" s="36">
        <v>4</v>
      </c>
      <c r="Q35" s="36" t="s">
        <v>166</v>
      </c>
      <c r="R35" s="36" t="s">
        <v>214</v>
      </c>
      <c r="S35" s="36" t="s">
        <v>177</v>
      </c>
      <c r="T35" s="36" t="s">
        <v>212</v>
      </c>
      <c r="U35" s="3" t="s">
        <v>169</v>
      </c>
      <c r="V35" s="3" t="s">
        <v>170</v>
      </c>
      <c r="W35" s="3"/>
      <c r="X35" s="3"/>
      <c r="Y35" s="36" t="str">
        <f>HYPERLINK("http://www.stromypodkontrolou.cz/map/?draw_selection_circle=1#%7B%22lat%22%3A%2049.6788353689%2C%20%22lng%22%3A%2018.6844871732%2C%20%22zoom%22%3A%2020%7D")</f>
        <v>http://www.stromypodkontrolou.cz/map/?draw_selection_circle=1#%7B%22lat%22%3A%2049.6788353689%2C%20%22lng%22%3A%2018.6844871732%2C%20%22zoom%22%3A%2020%7D</v>
      </c>
    </row>
    <row r="36" spans="1:2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" t="s">
        <v>171</v>
      </c>
      <c r="V36" s="3" t="s">
        <v>172</v>
      </c>
      <c r="W36" s="3"/>
      <c r="X36" s="3"/>
      <c r="Y36" s="36"/>
    </row>
    <row r="37" spans="1:25" ht="12.75">
      <c r="A37" s="36" t="s">
        <v>32</v>
      </c>
      <c r="B37" s="36">
        <v>6</v>
      </c>
      <c r="C37" s="36"/>
      <c r="D37" s="36" t="s">
        <v>15</v>
      </c>
      <c r="E37" s="36" t="s">
        <v>183</v>
      </c>
      <c r="F37" s="36">
        <v>4</v>
      </c>
      <c r="G37" s="36"/>
      <c r="H37" s="36"/>
      <c r="I37" s="36"/>
      <c r="J37" s="36">
        <v>13</v>
      </c>
      <c r="K37" s="36"/>
      <c r="L37" s="36"/>
      <c r="M37" s="36"/>
      <c r="N37" s="36">
        <v>4</v>
      </c>
      <c r="O37" s="36">
        <v>0</v>
      </c>
      <c r="P37" s="36">
        <v>3</v>
      </c>
      <c r="Q37" s="36" t="s">
        <v>179</v>
      </c>
      <c r="R37" s="36" t="s">
        <v>196</v>
      </c>
      <c r="S37" s="36" t="s">
        <v>7</v>
      </c>
      <c r="T37" s="36" t="s">
        <v>215</v>
      </c>
      <c r="U37" s="3" t="s">
        <v>171</v>
      </c>
      <c r="V37" s="3" t="s">
        <v>172</v>
      </c>
      <c r="W37" s="3"/>
      <c r="X37" s="3"/>
      <c r="Y37" s="36" t="str">
        <f>HYPERLINK("http://www.stromypodkontrolou.cz/map/?draw_selection_circle=1#%7B%22lat%22%3A%2049.6679313433552%2C%20%22lng%22%3A%2018.6625795093028%2C%20%22zoom%22%3A%2020%7D")</f>
        <v>http://www.stromypodkontrolou.cz/map/?draw_selection_circle=1#%7B%22lat%22%3A%2049.6679313433552%2C%20%22lng%22%3A%2018.6625795093028%2C%20%22zoom%22%3A%2020%7D</v>
      </c>
    </row>
    <row r="38" spans="1:25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" t="s">
        <v>169</v>
      </c>
      <c r="V38" s="3" t="s">
        <v>170</v>
      </c>
      <c r="W38" s="3"/>
      <c r="X38" s="3"/>
      <c r="Y38" s="36"/>
    </row>
    <row r="39" spans="1:25" ht="12.75">
      <c r="A39" s="36" t="s">
        <v>33</v>
      </c>
      <c r="B39" s="36">
        <v>31</v>
      </c>
      <c r="C39" s="36"/>
      <c r="D39" s="36" t="s">
        <v>21</v>
      </c>
      <c r="E39" s="36" t="s">
        <v>197</v>
      </c>
      <c r="F39" s="36">
        <v>25</v>
      </c>
      <c r="G39" s="36">
        <v>24</v>
      </c>
      <c r="H39" s="36"/>
      <c r="I39" s="36"/>
      <c r="J39" s="36">
        <v>79</v>
      </c>
      <c r="K39" s="36">
        <v>75</v>
      </c>
      <c r="L39" s="36"/>
      <c r="M39" s="36"/>
      <c r="N39" s="36">
        <v>16</v>
      </c>
      <c r="O39" s="36">
        <v>1</v>
      </c>
      <c r="P39" s="36">
        <v>6</v>
      </c>
      <c r="Q39" s="36" t="s">
        <v>181</v>
      </c>
      <c r="R39" s="36" t="s">
        <v>216</v>
      </c>
      <c r="S39" s="36" t="s">
        <v>189</v>
      </c>
      <c r="T39" s="36" t="s">
        <v>217</v>
      </c>
      <c r="U39" s="3" t="s">
        <v>171</v>
      </c>
      <c r="V39" s="3" t="s">
        <v>172</v>
      </c>
      <c r="W39" s="3"/>
      <c r="X39" s="3"/>
      <c r="Y39" s="36" t="str">
        <f>HYPERLINK("http://www.stromypodkontrolou.cz/map/?draw_selection_circle=1#%7B%22lat%22%3A%2049.6621066799827%2C%20%22lng%22%3A%2018.6792307913795%2C%20%22zoom%22%3A%2020%7D")</f>
        <v>http://www.stromypodkontrolou.cz/map/?draw_selection_circle=1#%7B%22lat%22%3A%2049.6621066799827%2C%20%22lng%22%3A%2018.6792307913795%2C%20%22zoom%22%3A%2020%7D</v>
      </c>
    </row>
    <row r="40" spans="1:25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" t="s">
        <v>218</v>
      </c>
      <c r="V40" s="3" t="s">
        <v>219</v>
      </c>
      <c r="W40" s="3"/>
      <c r="X40" s="3"/>
      <c r="Y40" s="36"/>
    </row>
    <row r="41" spans="1:25" ht="12.75">
      <c r="A41" s="36" t="s">
        <v>12</v>
      </c>
      <c r="B41" s="36">
        <v>549</v>
      </c>
      <c r="C41" s="36"/>
      <c r="D41" s="36" t="s">
        <v>34</v>
      </c>
      <c r="E41" s="36" t="s">
        <v>220</v>
      </c>
      <c r="F41" s="36">
        <v>5</v>
      </c>
      <c r="G41" s="36"/>
      <c r="H41" s="36"/>
      <c r="I41" s="36"/>
      <c r="J41" s="36">
        <v>16</v>
      </c>
      <c r="K41" s="36"/>
      <c r="L41" s="36"/>
      <c r="M41" s="36"/>
      <c r="N41" s="36">
        <v>4</v>
      </c>
      <c r="O41" s="36">
        <v>2</v>
      </c>
      <c r="P41" s="36">
        <v>2</v>
      </c>
      <c r="Q41" s="36" t="s">
        <v>181</v>
      </c>
      <c r="R41" s="36" t="s">
        <v>221</v>
      </c>
      <c r="S41" s="36" t="s">
        <v>177</v>
      </c>
      <c r="T41" s="36" t="s">
        <v>222</v>
      </c>
      <c r="U41" s="3" t="s">
        <v>171</v>
      </c>
      <c r="V41" s="3" t="s">
        <v>172</v>
      </c>
      <c r="W41" s="3"/>
      <c r="X41" s="3"/>
      <c r="Y41" s="36" t="str">
        <f>HYPERLINK("http://www.stromypodkontrolou.cz/map/?draw_selection_circle=1#%7B%22lat%22%3A%2049.6766354344309%2C%20%22lng%22%3A%2018.686548259834%2C%20%22zoom%22%3A%2020%7D")</f>
        <v>http://www.stromypodkontrolou.cz/map/?draw_selection_circle=1#%7B%22lat%22%3A%2049.6766354344309%2C%20%22lng%22%3A%2018.686548259834%2C%20%22zoom%22%3A%2020%7D</v>
      </c>
    </row>
    <row r="42" spans="1:25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" t="s">
        <v>169</v>
      </c>
      <c r="V42" s="3" t="s">
        <v>170</v>
      </c>
      <c r="W42" s="3"/>
      <c r="X42" s="3"/>
      <c r="Y42" s="36"/>
    </row>
    <row r="43" spans="1:25" ht="12.75">
      <c r="A43" s="3" t="s">
        <v>35</v>
      </c>
      <c r="B43" s="3">
        <v>47</v>
      </c>
      <c r="C43" s="3"/>
      <c r="D43" s="3" t="s">
        <v>11</v>
      </c>
      <c r="E43" s="3" t="s">
        <v>173</v>
      </c>
      <c r="F43" s="3">
        <v>24</v>
      </c>
      <c r="G43" s="3"/>
      <c r="H43" s="3"/>
      <c r="I43" s="3"/>
      <c r="J43" s="3">
        <v>75</v>
      </c>
      <c r="K43" s="3"/>
      <c r="L43" s="3"/>
      <c r="M43" s="3"/>
      <c r="N43" s="3">
        <v>14</v>
      </c>
      <c r="O43" s="3">
        <v>2</v>
      </c>
      <c r="P43" s="3">
        <v>4</v>
      </c>
      <c r="Q43" s="3" t="s">
        <v>166</v>
      </c>
      <c r="R43" s="3" t="s">
        <v>193</v>
      </c>
      <c r="S43" s="3" t="s">
        <v>189</v>
      </c>
      <c r="T43" s="3" t="s">
        <v>223</v>
      </c>
      <c r="U43" s="3" t="s">
        <v>224</v>
      </c>
      <c r="V43" s="3" t="s">
        <v>225</v>
      </c>
      <c r="W43" s="3"/>
      <c r="X43" s="3"/>
      <c r="Y43" s="3" t="str">
        <f>HYPERLINK("http://www.stromypodkontrolou.cz/map/?draw_selection_circle=1#%7B%22lat%22%3A%2049.6681747634%2C%20%22lng%22%3A%2018.6787413075%2C%20%22zoom%22%3A%2020%7D")</f>
        <v>http://www.stromypodkontrolou.cz/map/?draw_selection_circle=1#%7B%22lat%22%3A%2049.6681747634%2C%20%22lng%22%3A%2018.6787413075%2C%20%22zoom%22%3A%2020%7D</v>
      </c>
    </row>
    <row r="44" spans="1:25" ht="12.75">
      <c r="A44" s="36" t="s">
        <v>35</v>
      </c>
      <c r="B44" s="36">
        <v>38</v>
      </c>
      <c r="C44" s="36"/>
      <c r="D44" s="36" t="s">
        <v>13</v>
      </c>
      <c r="E44" s="36" t="s">
        <v>175</v>
      </c>
      <c r="F44" s="36">
        <v>11</v>
      </c>
      <c r="G44" s="36">
        <v>7</v>
      </c>
      <c r="H44" s="36"/>
      <c r="I44" s="36"/>
      <c r="J44" s="36">
        <v>35</v>
      </c>
      <c r="K44" s="36">
        <v>22</v>
      </c>
      <c r="L44" s="36"/>
      <c r="M44" s="36"/>
      <c r="N44" s="36">
        <v>5</v>
      </c>
      <c r="O44" s="36">
        <v>0</v>
      </c>
      <c r="P44" s="36">
        <v>5</v>
      </c>
      <c r="Q44" s="36" t="s">
        <v>166</v>
      </c>
      <c r="R44" s="36" t="s">
        <v>226</v>
      </c>
      <c r="S44" s="36" t="s">
        <v>189</v>
      </c>
      <c r="T44" s="36" t="s">
        <v>223</v>
      </c>
      <c r="U44" s="3" t="s">
        <v>171</v>
      </c>
      <c r="V44" s="3" t="s">
        <v>172</v>
      </c>
      <c r="W44" s="3"/>
      <c r="X44" s="3"/>
      <c r="Y44" s="36" t="str">
        <f>HYPERLINK("http://www.stromypodkontrolou.cz/map/?draw_selection_circle=1#%7B%22lat%22%3A%2049.6679919408975%2C%20%22lng%22%3A%2018.6790539436471%2C%20%22zoom%22%3A%2020%7D")</f>
        <v>http://www.stromypodkontrolou.cz/map/?draw_selection_circle=1#%7B%22lat%22%3A%2049.6679919408975%2C%20%22lng%22%3A%2018.6790539436471%2C%20%22zoom%22%3A%2020%7D</v>
      </c>
    </row>
    <row r="45" spans="1:25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" t="s">
        <v>169</v>
      </c>
      <c r="V45" s="3" t="s">
        <v>170</v>
      </c>
      <c r="W45" s="3"/>
      <c r="X45" s="3"/>
      <c r="Y45" s="36"/>
    </row>
    <row r="46" spans="1:25" ht="12.75">
      <c r="A46" s="36" t="s">
        <v>35</v>
      </c>
      <c r="B46" s="36">
        <v>40</v>
      </c>
      <c r="C46" s="36"/>
      <c r="D46" s="36" t="s">
        <v>27</v>
      </c>
      <c r="E46" s="36" t="s">
        <v>204</v>
      </c>
      <c r="F46" s="36">
        <v>13</v>
      </c>
      <c r="G46" s="36"/>
      <c r="H46" s="36"/>
      <c r="I46" s="36"/>
      <c r="J46" s="36">
        <v>41</v>
      </c>
      <c r="K46" s="36"/>
      <c r="L46" s="36"/>
      <c r="M46" s="36"/>
      <c r="N46" s="36">
        <v>6</v>
      </c>
      <c r="O46" s="36">
        <v>2</v>
      </c>
      <c r="P46" s="36">
        <v>3</v>
      </c>
      <c r="Q46" s="36" t="s">
        <v>166</v>
      </c>
      <c r="R46" s="36" t="s">
        <v>227</v>
      </c>
      <c r="S46" s="36" t="s">
        <v>189</v>
      </c>
      <c r="T46" s="36" t="s">
        <v>223</v>
      </c>
      <c r="U46" s="3" t="s">
        <v>171</v>
      </c>
      <c r="V46" s="3" t="s">
        <v>172</v>
      </c>
      <c r="W46" s="3"/>
      <c r="X46" s="3"/>
      <c r="Y46" s="36" t="str">
        <f>HYPERLINK("http://www.stromypodkontrolou.cz/map/?draw_selection_circle=1#%7B%22lat%22%3A%2049.6680658686707%2C%20%22lng%22%3A%2018.6789601145313%2C%20%22zoom%22%3A%2020%7D")</f>
        <v>http://www.stromypodkontrolou.cz/map/?draw_selection_circle=1#%7B%22lat%22%3A%2049.6680658686707%2C%20%22lng%22%3A%2018.6789601145313%2C%20%22zoom%22%3A%2020%7D</v>
      </c>
    </row>
    <row r="47" spans="1:25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" t="s">
        <v>169</v>
      </c>
      <c r="V47" s="3" t="s">
        <v>170</v>
      </c>
      <c r="W47" s="3"/>
      <c r="X47" s="3"/>
      <c r="Y47" s="36"/>
    </row>
    <row r="48" spans="1:25" ht="12.75">
      <c r="A48" s="36" t="s">
        <v>35</v>
      </c>
      <c r="B48" s="36">
        <v>48</v>
      </c>
      <c r="C48" s="36"/>
      <c r="D48" s="36" t="s">
        <v>11</v>
      </c>
      <c r="E48" s="36" t="s">
        <v>173</v>
      </c>
      <c r="F48" s="36">
        <v>22</v>
      </c>
      <c r="G48" s="36"/>
      <c r="H48" s="36"/>
      <c r="I48" s="36"/>
      <c r="J48" s="36">
        <v>69</v>
      </c>
      <c r="K48" s="36"/>
      <c r="L48" s="36"/>
      <c r="M48" s="36"/>
      <c r="N48" s="36">
        <v>14</v>
      </c>
      <c r="O48" s="36">
        <v>2</v>
      </c>
      <c r="P48" s="36">
        <v>4</v>
      </c>
      <c r="Q48" s="36" t="s">
        <v>166</v>
      </c>
      <c r="R48" s="36" t="s">
        <v>196</v>
      </c>
      <c r="S48" s="36" t="s">
        <v>189</v>
      </c>
      <c r="T48" s="36" t="s">
        <v>223</v>
      </c>
      <c r="U48" s="3" t="s">
        <v>169</v>
      </c>
      <c r="V48" s="3" t="s">
        <v>170</v>
      </c>
      <c r="W48" s="3"/>
      <c r="X48" s="3"/>
      <c r="Y48" s="36" t="str">
        <f>HYPERLINK("http://www.stromypodkontrolou.cz/map/?draw_selection_circle=1#%7B%22lat%22%3A%2049.6681822661806%2C%20%22lng%22%3A%2018.6787477376476%2C%20%22zoom%22%3A%2020%7D")</f>
        <v>http://www.stromypodkontrolou.cz/map/?draw_selection_circle=1#%7B%22lat%22%3A%2049.6681822661806%2C%20%22lng%22%3A%2018.6787477376476%2C%20%22zoom%22%3A%2020%7D</v>
      </c>
    </row>
    <row r="49" spans="1:25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" t="s">
        <v>171</v>
      </c>
      <c r="V49" s="3" t="s">
        <v>172</v>
      </c>
      <c r="W49" s="3"/>
      <c r="X49" s="3"/>
      <c r="Y49" s="36"/>
    </row>
    <row r="50" spans="1:25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" t="s">
        <v>171</v>
      </c>
      <c r="V50" s="3" t="s">
        <v>172</v>
      </c>
      <c r="W50" s="3"/>
      <c r="X50" s="3"/>
      <c r="Y50" s="36"/>
    </row>
    <row r="51" spans="1:25" ht="12.75">
      <c r="A51" s="36" t="s">
        <v>36</v>
      </c>
      <c r="B51" s="36">
        <v>10</v>
      </c>
      <c r="C51" s="36"/>
      <c r="D51" s="36" t="s">
        <v>21</v>
      </c>
      <c r="E51" s="36" t="s">
        <v>197</v>
      </c>
      <c r="F51" s="36">
        <v>24</v>
      </c>
      <c r="G51" s="36"/>
      <c r="H51" s="36"/>
      <c r="I51" s="36"/>
      <c r="J51" s="36">
        <v>75</v>
      </c>
      <c r="K51" s="36"/>
      <c r="L51" s="36"/>
      <c r="M51" s="36"/>
      <c r="N51" s="36">
        <v>12</v>
      </c>
      <c r="O51" s="36">
        <v>2</v>
      </c>
      <c r="P51" s="36">
        <v>7</v>
      </c>
      <c r="Q51" s="36" t="s">
        <v>181</v>
      </c>
      <c r="R51" s="36" t="s">
        <v>228</v>
      </c>
      <c r="S51" s="36" t="s">
        <v>189</v>
      </c>
      <c r="T51" s="36" t="s">
        <v>229</v>
      </c>
      <c r="U51" s="3" t="s">
        <v>171</v>
      </c>
      <c r="V51" s="3" t="s">
        <v>172</v>
      </c>
      <c r="W51" s="3"/>
      <c r="X51" s="3"/>
      <c r="Y51" s="36" t="str">
        <f>HYPERLINK("http://www.stromypodkontrolou.cz/map/?draw_selection_circle=1#%7B%22lat%22%3A%2049.6675526649411%2C%20%22lng%22%3A%2018.6784494554711%2C%20%22zoom%22%3A%2020%7D")</f>
        <v>http://www.stromypodkontrolou.cz/map/?draw_selection_circle=1#%7B%22lat%22%3A%2049.6675526649411%2C%20%22lng%22%3A%2018.6784494554711%2C%20%22zoom%22%3A%2020%7D</v>
      </c>
    </row>
    <row r="52" spans="1:25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" t="s">
        <v>169</v>
      </c>
      <c r="V52" s="3" t="s">
        <v>170</v>
      </c>
      <c r="W52" s="3"/>
      <c r="X52" s="3"/>
      <c r="Y52" s="36"/>
    </row>
    <row r="53" spans="1:25" ht="12.75">
      <c r="A53" s="36" t="s">
        <v>16</v>
      </c>
      <c r="B53" s="36">
        <v>46</v>
      </c>
      <c r="C53" s="36"/>
      <c r="D53" s="36" t="s">
        <v>21</v>
      </c>
      <c r="E53" s="36" t="s">
        <v>197</v>
      </c>
      <c r="F53" s="36">
        <v>21</v>
      </c>
      <c r="G53" s="36">
        <v>11</v>
      </c>
      <c r="H53" s="36">
        <v>9</v>
      </c>
      <c r="I53" s="36"/>
      <c r="J53" s="36">
        <v>66</v>
      </c>
      <c r="K53" s="36">
        <v>35</v>
      </c>
      <c r="L53" s="36">
        <v>28</v>
      </c>
      <c r="M53" s="36"/>
      <c r="N53" s="36">
        <v>16</v>
      </c>
      <c r="O53" s="36">
        <v>2</v>
      </c>
      <c r="P53" s="36">
        <v>6</v>
      </c>
      <c r="Q53" s="36" t="s">
        <v>181</v>
      </c>
      <c r="R53" s="36" t="s">
        <v>230</v>
      </c>
      <c r="S53" s="36" t="s">
        <v>189</v>
      </c>
      <c r="T53" s="36" t="s">
        <v>231</v>
      </c>
      <c r="U53" s="3" t="s">
        <v>191</v>
      </c>
      <c r="V53" s="3" t="s">
        <v>192</v>
      </c>
      <c r="W53" s="3"/>
      <c r="X53" s="3"/>
      <c r="Y53" s="36" t="str">
        <f>HYPERLINK("http://www.stromypodkontrolou.cz/map/?draw_selection_circle=1#%7B%22lat%22%3A%2049.6716393293794%2C%20%22lng%22%3A%2018.6703910552439%2C%20%22zoom%22%3A%2020%7D")</f>
        <v>http://www.stromypodkontrolou.cz/map/?draw_selection_circle=1#%7B%22lat%22%3A%2049.6716393293794%2C%20%22lng%22%3A%2018.6703910552439%2C%20%22zoom%22%3A%2020%7D</v>
      </c>
    </row>
    <row r="54" spans="1:25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" t="s">
        <v>171</v>
      </c>
      <c r="V54" s="3" t="s">
        <v>172</v>
      </c>
      <c r="W54" s="3"/>
      <c r="X54" s="3"/>
      <c r="Y54" s="36"/>
    </row>
    <row r="55" spans="1:25" ht="12.75">
      <c r="A55" s="36" t="s">
        <v>16</v>
      </c>
      <c r="B55" s="36">
        <v>44</v>
      </c>
      <c r="C55" s="36"/>
      <c r="D55" s="36" t="s">
        <v>21</v>
      </c>
      <c r="E55" s="36" t="s">
        <v>197</v>
      </c>
      <c r="F55" s="36">
        <v>14</v>
      </c>
      <c r="G55" s="36">
        <v>8</v>
      </c>
      <c r="H55" s="36"/>
      <c r="I55" s="36"/>
      <c r="J55" s="36">
        <v>44</v>
      </c>
      <c r="K55" s="36">
        <v>25</v>
      </c>
      <c r="L55" s="36"/>
      <c r="M55" s="36"/>
      <c r="N55" s="36">
        <v>15</v>
      </c>
      <c r="O55" s="36">
        <v>2</v>
      </c>
      <c r="P55" s="36">
        <v>6</v>
      </c>
      <c r="Q55" s="36" t="s">
        <v>181</v>
      </c>
      <c r="R55" s="36" t="s">
        <v>230</v>
      </c>
      <c r="S55" s="36" t="s">
        <v>189</v>
      </c>
      <c r="T55" s="36" t="s">
        <v>231</v>
      </c>
      <c r="U55" s="3" t="s">
        <v>169</v>
      </c>
      <c r="V55" s="3" t="s">
        <v>170</v>
      </c>
      <c r="W55" s="3"/>
      <c r="X55" s="3"/>
      <c r="Y55" s="36" t="str">
        <f>HYPERLINK("http://www.stromypodkontrolou.cz/map/?draw_selection_circle=1#%7B%22lat%22%3A%2049.6716255766515%2C%20%22lng%22%3A%2018.6703600564121%2C%20%22zoom%22%3A%2020%7D")</f>
        <v>http://www.stromypodkontrolou.cz/map/?draw_selection_circle=1#%7B%22lat%22%3A%2049.6716255766515%2C%20%22lng%22%3A%2018.6703600564121%2C%20%22zoom%22%3A%2020%7D</v>
      </c>
    </row>
    <row r="56" spans="1:25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" t="s">
        <v>171</v>
      </c>
      <c r="V56" s="3" t="s">
        <v>172</v>
      </c>
      <c r="W56" s="3"/>
      <c r="X56" s="3"/>
      <c r="Y56" s="36"/>
    </row>
    <row r="57" spans="1:25" ht="12.75">
      <c r="A57" s="36" t="s">
        <v>16</v>
      </c>
      <c r="B57" s="36">
        <v>42</v>
      </c>
      <c r="C57" s="36"/>
      <c r="D57" s="36" t="s">
        <v>21</v>
      </c>
      <c r="E57" s="36" t="s">
        <v>197</v>
      </c>
      <c r="F57" s="36">
        <v>17</v>
      </c>
      <c r="G57" s="36">
        <v>16</v>
      </c>
      <c r="H57" s="36"/>
      <c r="I57" s="36"/>
      <c r="J57" s="36">
        <v>53</v>
      </c>
      <c r="K57" s="36">
        <v>50</v>
      </c>
      <c r="L57" s="36"/>
      <c r="M57" s="36"/>
      <c r="N57" s="36">
        <v>17</v>
      </c>
      <c r="O57" s="36">
        <v>2</v>
      </c>
      <c r="P57" s="36">
        <v>6</v>
      </c>
      <c r="Q57" s="36" t="s">
        <v>181</v>
      </c>
      <c r="R57" s="36" t="s">
        <v>196</v>
      </c>
      <c r="S57" s="36" t="s">
        <v>189</v>
      </c>
      <c r="T57" s="36" t="s">
        <v>231</v>
      </c>
      <c r="U57" s="3" t="s">
        <v>218</v>
      </c>
      <c r="V57" s="3" t="s">
        <v>219</v>
      </c>
      <c r="W57" s="3"/>
      <c r="X57" s="3"/>
      <c r="Y57" s="36" t="str">
        <f>HYPERLINK("http://www.stromypodkontrolou.cz/map/?draw_selection_circle=1#%7B%22lat%22%3A%2049.6716134518797%2C%20%22lng%22%3A%2018.6703311915544%2C%20%22zoom%22%3A%2020%7D")</f>
        <v>http://www.stromypodkontrolou.cz/map/?draw_selection_circle=1#%7B%22lat%22%3A%2049.6716134518797%2C%20%22lng%22%3A%2018.6703311915544%2C%20%22zoom%22%3A%2020%7D</v>
      </c>
    </row>
    <row r="58" spans="1:25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" t="s">
        <v>171</v>
      </c>
      <c r="V58" s="3" t="s">
        <v>172</v>
      </c>
      <c r="W58" s="3"/>
      <c r="X58" s="3"/>
      <c r="Y58" s="36"/>
    </row>
    <row r="59" spans="1:25" ht="12.75">
      <c r="A59" s="36" t="s">
        <v>16</v>
      </c>
      <c r="B59" s="36">
        <v>40</v>
      </c>
      <c r="C59" s="36"/>
      <c r="D59" s="36" t="s">
        <v>21</v>
      </c>
      <c r="E59" s="36" t="s">
        <v>197</v>
      </c>
      <c r="F59" s="36">
        <v>25</v>
      </c>
      <c r="G59" s="36"/>
      <c r="H59" s="36"/>
      <c r="I59" s="36"/>
      <c r="J59" s="36">
        <v>79</v>
      </c>
      <c r="K59" s="36"/>
      <c r="L59" s="36"/>
      <c r="M59" s="36"/>
      <c r="N59" s="36">
        <v>15</v>
      </c>
      <c r="O59" s="36">
        <v>2</v>
      </c>
      <c r="P59" s="36">
        <v>5</v>
      </c>
      <c r="Q59" s="36" t="s">
        <v>181</v>
      </c>
      <c r="R59" s="36" t="s">
        <v>232</v>
      </c>
      <c r="S59" s="36" t="s">
        <v>189</v>
      </c>
      <c r="T59" s="36" t="s">
        <v>231</v>
      </c>
      <c r="U59" s="3" t="s">
        <v>218</v>
      </c>
      <c r="V59" s="3" t="s">
        <v>219</v>
      </c>
      <c r="W59" s="3"/>
      <c r="X59" s="3"/>
      <c r="Y59" s="36" t="str">
        <f>HYPERLINK("http://www.stromypodkontrolou.cz/map/?draw_selection_circle=1#%7B%22lat%22%3A%2049.6715979496823%2C%20%22lng%22%3A%2018.6702957376046%2C%20%22zoom%22%3A%2020%7D")</f>
        <v>http://www.stromypodkontrolou.cz/map/?draw_selection_circle=1#%7B%22lat%22%3A%2049.6715979496823%2C%20%22lng%22%3A%2018.6702957376046%2C%20%22zoom%22%3A%2020%7D</v>
      </c>
    </row>
    <row r="60" spans="1:25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" t="s">
        <v>171</v>
      </c>
      <c r="V60" s="3" t="s">
        <v>172</v>
      </c>
      <c r="W60" s="3"/>
      <c r="X60" s="3"/>
      <c r="Y60" s="36"/>
    </row>
    <row r="61" spans="1:25" ht="12.75">
      <c r="A61" s="36" t="s">
        <v>16</v>
      </c>
      <c r="B61" s="36">
        <v>39</v>
      </c>
      <c r="C61" s="36"/>
      <c r="D61" s="36" t="s">
        <v>21</v>
      </c>
      <c r="E61" s="36" t="s">
        <v>197</v>
      </c>
      <c r="F61" s="36">
        <v>20</v>
      </c>
      <c r="G61" s="36">
        <v>21</v>
      </c>
      <c r="H61" s="36"/>
      <c r="I61" s="36"/>
      <c r="J61" s="36">
        <v>63</v>
      </c>
      <c r="K61" s="36">
        <v>66</v>
      </c>
      <c r="L61" s="36"/>
      <c r="M61" s="36"/>
      <c r="N61" s="36">
        <v>18</v>
      </c>
      <c r="O61" s="36">
        <v>2</v>
      </c>
      <c r="P61" s="36">
        <v>7</v>
      </c>
      <c r="Q61" s="36" t="s">
        <v>181</v>
      </c>
      <c r="R61" s="36" t="s">
        <v>230</v>
      </c>
      <c r="S61" s="36" t="s">
        <v>189</v>
      </c>
      <c r="T61" s="36" t="s">
        <v>231</v>
      </c>
      <c r="U61" s="3" t="s">
        <v>218</v>
      </c>
      <c r="V61" s="3" t="s">
        <v>219</v>
      </c>
      <c r="W61" s="3"/>
      <c r="X61" s="3"/>
      <c r="Y61" s="36" t="str">
        <f>HYPERLINK("http://www.stromypodkontrolou.cz/map/?draw_selection_circle=1#%7B%22lat%22%3A%2049.6715910733107%2C%20%22lng%22%3A%2018.6702802382053%2C%20%22zoom%22%3A%2020%7D")</f>
        <v>http://www.stromypodkontrolou.cz/map/?draw_selection_circle=1#%7B%22lat%22%3A%2049.6715910733107%2C%20%22lng%22%3A%2018.6702802382053%2C%20%22zoom%22%3A%2020%7D</v>
      </c>
    </row>
    <row r="62" spans="1:25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" t="s">
        <v>171</v>
      </c>
      <c r="V62" s="3" t="s">
        <v>172</v>
      </c>
      <c r="W62" s="3"/>
      <c r="X62" s="3"/>
      <c r="Y62" s="36"/>
    </row>
    <row r="63" spans="1:25" ht="12.75">
      <c r="A63" s="36" t="s">
        <v>37</v>
      </c>
      <c r="B63" s="36">
        <v>28</v>
      </c>
      <c r="C63" s="36"/>
      <c r="D63" s="36" t="s">
        <v>27</v>
      </c>
      <c r="E63" s="36" t="s">
        <v>204</v>
      </c>
      <c r="F63" s="36">
        <v>21</v>
      </c>
      <c r="G63" s="36">
        <v>20</v>
      </c>
      <c r="H63" s="36"/>
      <c r="I63" s="36"/>
      <c r="J63" s="36">
        <v>66</v>
      </c>
      <c r="K63" s="36">
        <v>63</v>
      </c>
      <c r="L63" s="36"/>
      <c r="M63" s="36"/>
      <c r="N63" s="36">
        <v>12</v>
      </c>
      <c r="O63" s="36">
        <v>0</v>
      </c>
      <c r="P63" s="36">
        <v>6</v>
      </c>
      <c r="Q63" s="36" t="s">
        <v>181</v>
      </c>
      <c r="R63" s="36" t="s">
        <v>233</v>
      </c>
      <c r="S63" s="36" t="s">
        <v>189</v>
      </c>
      <c r="T63" s="36" t="s">
        <v>234</v>
      </c>
      <c r="U63" s="3" t="s">
        <v>169</v>
      </c>
      <c r="V63" s="3" t="s">
        <v>170</v>
      </c>
      <c r="W63" s="3"/>
      <c r="X63" s="3"/>
      <c r="Y63" s="36" t="str">
        <f>HYPERLINK("http://www.stromypodkontrolou.cz/map/?draw_selection_circle=1#%7B%22lat%22%3A%2049.6694511201387%2C%20%22lng%22%3A%2018.680818268178%2C%20%22zoom%22%3A%2020%7D")</f>
        <v>http://www.stromypodkontrolou.cz/map/?draw_selection_circle=1#%7B%22lat%22%3A%2049.6694511201387%2C%20%22lng%22%3A%2018.680818268178%2C%20%22zoom%22%3A%2020%7D</v>
      </c>
    </row>
    <row r="64" spans="1:25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" t="s">
        <v>171</v>
      </c>
      <c r="V64" s="3" t="s">
        <v>172</v>
      </c>
      <c r="W64" s="3"/>
      <c r="X64" s="3"/>
      <c r="Y64" s="36"/>
    </row>
    <row r="65" spans="1:25" ht="12.75">
      <c r="A65" s="36" t="s">
        <v>26</v>
      </c>
      <c r="B65" s="36">
        <v>123</v>
      </c>
      <c r="C65" s="36"/>
      <c r="D65" s="36" t="s">
        <v>21</v>
      </c>
      <c r="E65" s="36" t="s">
        <v>197</v>
      </c>
      <c r="F65" s="36">
        <v>24</v>
      </c>
      <c r="G65" s="36"/>
      <c r="H65" s="36"/>
      <c r="I65" s="36"/>
      <c r="J65" s="36">
        <v>75</v>
      </c>
      <c r="K65" s="36"/>
      <c r="L65" s="36"/>
      <c r="M65" s="36"/>
      <c r="N65" s="36">
        <v>17</v>
      </c>
      <c r="O65" s="36">
        <v>1</v>
      </c>
      <c r="P65" s="36">
        <v>4</v>
      </c>
      <c r="Q65" s="36" t="s">
        <v>166</v>
      </c>
      <c r="R65" s="36" t="s">
        <v>196</v>
      </c>
      <c r="S65" s="36" t="s">
        <v>189</v>
      </c>
      <c r="T65" s="36" t="s">
        <v>206</v>
      </c>
      <c r="U65" s="3" t="s">
        <v>169</v>
      </c>
      <c r="V65" s="3" t="s">
        <v>170</v>
      </c>
      <c r="W65" s="3"/>
      <c r="X65" s="3"/>
      <c r="Y65" s="36" t="str">
        <f>HYPERLINK("http://www.stromypodkontrolou.cz/map/?draw_selection_circle=1#%7B%22lat%22%3A%2049.6648961663302%2C%20%22lng%22%3A%2018.6754724068894%2C%20%22zoom%22%3A%2020%7D")</f>
        <v>http://www.stromypodkontrolou.cz/map/?draw_selection_circle=1#%7B%22lat%22%3A%2049.6648961663302%2C%20%22lng%22%3A%2018.6754724068894%2C%20%22zoom%22%3A%2020%7D</v>
      </c>
    </row>
    <row r="66" spans="1:25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" t="s">
        <v>171</v>
      </c>
      <c r="V66" s="3" t="s">
        <v>172</v>
      </c>
      <c r="W66" s="3"/>
      <c r="X66" s="3"/>
      <c r="Y66" s="36"/>
    </row>
    <row r="67" spans="1:25" ht="12.75">
      <c r="A67" s="36" t="s">
        <v>38</v>
      </c>
      <c r="B67" s="36">
        <v>53</v>
      </c>
      <c r="C67" s="36"/>
      <c r="D67" s="36" t="s">
        <v>39</v>
      </c>
      <c r="E67" s="36" t="s">
        <v>235</v>
      </c>
      <c r="F67" s="36">
        <v>25</v>
      </c>
      <c r="G67" s="36"/>
      <c r="H67" s="36"/>
      <c r="I67" s="36"/>
      <c r="J67" s="36">
        <v>79</v>
      </c>
      <c r="K67" s="36"/>
      <c r="L67" s="36"/>
      <c r="M67" s="36"/>
      <c r="N67" s="36">
        <v>11</v>
      </c>
      <c r="O67" s="36">
        <v>0</v>
      </c>
      <c r="P67" s="36">
        <v>5</v>
      </c>
      <c r="Q67" s="36" t="s">
        <v>181</v>
      </c>
      <c r="R67" s="36" t="s">
        <v>236</v>
      </c>
      <c r="S67" s="36" t="s">
        <v>189</v>
      </c>
      <c r="T67" s="36" t="s">
        <v>237</v>
      </c>
      <c r="U67" s="3" t="s">
        <v>169</v>
      </c>
      <c r="V67" s="3" t="s">
        <v>170</v>
      </c>
      <c r="W67" s="3"/>
      <c r="X67" s="3"/>
      <c r="Y67" s="36" t="str">
        <f>HYPERLINK("http://www.stromypodkontrolou.cz/map/?draw_selection_circle=1#%7B%22lat%22%3A%2049.6620831635076%2C%20%22lng%22%3A%2018.6767881513371%2C%20%22zoom%22%3A%2020%7D")</f>
        <v>http://www.stromypodkontrolou.cz/map/?draw_selection_circle=1#%7B%22lat%22%3A%2049.6620831635076%2C%20%22lng%22%3A%2018.6767881513371%2C%20%22zoom%22%3A%2020%7D</v>
      </c>
    </row>
    <row r="68" spans="1:25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" t="s">
        <v>171</v>
      </c>
      <c r="V68" s="3" t="s">
        <v>172</v>
      </c>
      <c r="W68" s="3"/>
      <c r="X68" s="3"/>
      <c r="Y68" s="36"/>
    </row>
    <row r="69" spans="1:25" ht="12.75">
      <c r="A69" s="36" t="s">
        <v>40</v>
      </c>
      <c r="B69" s="36">
        <v>49</v>
      </c>
      <c r="C69" s="36"/>
      <c r="D69" s="36" t="s">
        <v>41</v>
      </c>
      <c r="E69" s="36" t="s">
        <v>238</v>
      </c>
      <c r="F69" s="36">
        <v>18</v>
      </c>
      <c r="G69" s="36">
        <v>16</v>
      </c>
      <c r="H69" s="36">
        <v>13</v>
      </c>
      <c r="I69" s="36">
        <v>11</v>
      </c>
      <c r="J69" s="36">
        <v>57</v>
      </c>
      <c r="K69" s="36">
        <v>50</v>
      </c>
      <c r="L69" s="36">
        <v>41</v>
      </c>
      <c r="M69" s="36">
        <v>35</v>
      </c>
      <c r="N69" s="36">
        <v>12</v>
      </c>
      <c r="O69" s="36">
        <v>2</v>
      </c>
      <c r="P69" s="36">
        <v>7</v>
      </c>
      <c r="Q69" s="36" t="s">
        <v>166</v>
      </c>
      <c r="R69" s="36" t="s">
        <v>239</v>
      </c>
      <c r="S69" s="36" t="s">
        <v>189</v>
      </c>
      <c r="T69" s="36" t="s">
        <v>240</v>
      </c>
      <c r="U69" s="3" t="s">
        <v>169</v>
      </c>
      <c r="V69" s="3" t="s">
        <v>170</v>
      </c>
      <c r="W69" s="3"/>
      <c r="X69" s="3"/>
      <c r="Y69" s="36" t="str">
        <f>HYPERLINK("http://www.stromypodkontrolou.cz/map/?draw_selection_circle=1#%7B%22lat%22%3A%2049.662444631%2C%20%22lng%22%3A%2018.6744748328%2C%20%22zoom%22%3A%2020%7D")</f>
        <v>http://www.stromypodkontrolou.cz/map/?draw_selection_circle=1#%7B%22lat%22%3A%2049.662444631%2C%20%22lng%22%3A%2018.6744748328%2C%20%22zoom%22%3A%2020%7D</v>
      </c>
    </row>
    <row r="70" spans="1:25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" t="s">
        <v>171</v>
      </c>
      <c r="V70" s="3" t="s">
        <v>172</v>
      </c>
      <c r="W70" s="3"/>
      <c r="X70" s="3"/>
      <c r="Y70" s="36"/>
    </row>
    <row r="71" spans="1:25" ht="12.75">
      <c r="A71" s="36" t="s">
        <v>40</v>
      </c>
      <c r="B71" s="36">
        <v>46</v>
      </c>
      <c r="C71" s="36"/>
      <c r="D71" s="36" t="s">
        <v>42</v>
      </c>
      <c r="E71" s="36" t="s">
        <v>241</v>
      </c>
      <c r="F71" s="36">
        <v>12</v>
      </c>
      <c r="G71" s="36"/>
      <c r="H71" s="36"/>
      <c r="I71" s="36"/>
      <c r="J71" s="36">
        <v>38</v>
      </c>
      <c r="K71" s="36"/>
      <c r="L71" s="36"/>
      <c r="M71" s="36"/>
      <c r="N71" s="36">
        <v>6</v>
      </c>
      <c r="O71" s="36">
        <v>0</v>
      </c>
      <c r="P71" s="36">
        <v>3</v>
      </c>
      <c r="Q71" s="36" t="s">
        <v>179</v>
      </c>
      <c r="R71" s="36" t="s">
        <v>226</v>
      </c>
      <c r="S71" s="36" t="s">
        <v>189</v>
      </c>
      <c r="T71" s="36" t="s">
        <v>240</v>
      </c>
      <c r="U71" s="3" t="s">
        <v>169</v>
      </c>
      <c r="V71" s="3" t="s">
        <v>170</v>
      </c>
      <c r="W71" s="3"/>
      <c r="X71" s="3"/>
      <c r="Y71" s="36" t="str">
        <f>HYPERLINK("http://www.stromypodkontrolou.cz/map/?draw_selection_circle=1#%7B%22lat%22%3A%2049.6623823788262%2C%20%22lng%22%3A%2018.674375013961%2C%20%22zoom%22%3A%2020%7D")</f>
        <v>http://www.stromypodkontrolou.cz/map/?draw_selection_circle=1#%7B%22lat%22%3A%2049.6623823788262%2C%20%22lng%22%3A%2018.674375013961%2C%20%22zoom%22%3A%2020%7D</v>
      </c>
    </row>
    <row r="72" spans="1:25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" t="s">
        <v>171</v>
      </c>
      <c r="V72" s="3" t="s">
        <v>172</v>
      </c>
      <c r="W72" s="3"/>
      <c r="X72" s="3"/>
      <c r="Y72" s="36"/>
    </row>
    <row r="73" spans="1:25" ht="12.75">
      <c r="A73" s="36" t="s">
        <v>43</v>
      </c>
      <c r="B73" s="36">
        <v>72</v>
      </c>
      <c r="C73" s="36"/>
      <c r="D73" s="36" t="s">
        <v>44</v>
      </c>
      <c r="E73" s="36" t="s">
        <v>242</v>
      </c>
      <c r="F73" s="36">
        <v>25</v>
      </c>
      <c r="G73" s="36">
        <v>20</v>
      </c>
      <c r="H73" s="36"/>
      <c r="I73" s="36"/>
      <c r="J73" s="36">
        <v>79</v>
      </c>
      <c r="K73" s="36">
        <v>63</v>
      </c>
      <c r="L73" s="36"/>
      <c r="M73" s="36"/>
      <c r="N73" s="36">
        <v>9</v>
      </c>
      <c r="O73" s="36">
        <v>2</v>
      </c>
      <c r="P73" s="36">
        <v>8</v>
      </c>
      <c r="Q73" s="36" t="s">
        <v>181</v>
      </c>
      <c r="R73" s="36" t="s">
        <v>243</v>
      </c>
      <c r="S73" s="36" t="s">
        <v>7</v>
      </c>
      <c r="T73" s="36" t="s">
        <v>244</v>
      </c>
      <c r="U73" s="3" t="s">
        <v>169</v>
      </c>
      <c r="V73" s="3" t="s">
        <v>170</v>
      </c>
      <c r="W73" s="3"/>
      <c r="X73" s="3"/>
      <c r="Y73" s="36" t="str">
        <f>HYPERLINK("http://www.stromypodkontrolou.cz/map/?draw_selection_circle=1#%7B%22lat%22%3A%2049.6757424483634%2C%20%22lng%22%3A%2018.6691232346649%2C%20%22zoom%22%3A%2020%7D")</f>
        <v>http://www.stromypodkontrolou.cz/map/?draw_selection_circle=1#%7B%22lat%22%3A%2049.6757424483634%2C%20%22lng%22%3A%2018.6691232346649%2C%20%22zoom%22%3A%2020%7D</v>
      </c>
    </row>
    <row r="74" spans="1:25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" t="s">
        <v>171</v>
      </c>
      <c r="V74" s="3" t="s">
        <v>172</v>
      </c>
      <c r="W74" s="3"/>
      <c r="X74" s="3"/>
      <c r="Y74" s="36"/>
    </row>
    <row r="75" spans="1:25" ht="12.75">
      <c r="A75" s="36" t="s">
        <v>43</v>
      </c>
      <c r="B75" s="36">
        <v>25</v>
      </c>
      <c r="C75" s="36"/>
      <c r="D75" s="36" t="s">
        <v>45</v>
      </c>
      <c r="E75" s="36" t="s">
        <v>245</v>
      </c>
      <c r="F75" s="36">
        <v>10</v>
      </c>
      <c r="G75" s="36"/>
      <c r="H75" s="36"/>
      <c r="I75" s="36"/>
      <c r="J75" s="36">
        <v>31</v>
      </c>
      <c r="K75" s="36"/>
      <c r="L75" s="36"/>
      <c r="M75" s="36"/>
      <c r="N75" s="36">
        <v>4</v>
      </c>
      <c r="O75" s="36">
        <v>2</v>
      </c>
      <c r="P75" s="36">
        <v>4</v>
      </c>
      <c r="Q75" s="36" t="s">
        <v>181</v>
      </c>
      <c r="R75" s="36" t="s">
        <v>246</v>
      </c>
      <c r="S75" s="36" t="s">
        <v>7</v>
      </c>
      <c r="T75" s="36" t="s">
        <v>247</v>
      </c>
      <c r="U75" s="3" t="s">
        <v>169</v>
      </c>
      <c r="V75" s="3" t="s">
        <v>170</v>
      </c>
      <c r="W75" s="3"/>
      <c r="X75" s="3"/>
      <c r="Y75" s="36" t="str">
        <f>HYPERLINK("http://www.stromypodkontrolou.cz/map/?draw_selection_circle=1#%7B%22lat%22%3A%2049.6750470128567%2C%20%22lng%22%3A%2018.6708026378386%2C%20%22zoom%22%3A%2020%7D")</f>
        <v>http://www.stromypodkontrolou.cz/map/?draw_selection_circle=1#%7B%22lat%22%3A%2049.6750470128567%2C%20%22lng%22%3A%2018.6708026378386%2C%20%22zoom%22%3A%2020%7D</v>
      </c>
    </row>
    <row r="76" spans="1:25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" t="s">
        <v>171</v>
      </c>
      <c r="V76" s="3" t="s">
        <v>172</v>
      </c>
      <c r="W76" s="3"/>
      <c r="X76" s="3"/>
      <c r="Y76" s="36"/>
    </row>
    <row r="77" spans="1:25" ht="12.75">
      <c r="A77" s="36" t="s">
        <v>43</v>
      </c>
      <c r="B77" s="36">
        <v>32</v>
      </c>
      <c r="C77" s="36"/>
      <c r="D77" s="36" t="s">
        <v>46</v>
      </c>
      <c r="E77" s="36" t="s">
        <v>248</v>
      </c>
      <c r="F77" s="36">
        <v>8</v>
      </c>
      <c r="G77" s="36"/>
      <c r="H77" s="36"/>
      <c r="I77" s="36"/>
      <c r="J77" s="36">
        <v>25</v>
      </c>
      <c r="K77" s="36"/>
      <c r="L77" s="36"/>
      <c r="M77" s="36"/>
      <c r="N77" s="36">
        <v>4</v>
      </c>
      <c r="O77" s="36">
        <v>2</v>
      </c>
      <c r="P77" s="36">
        <v>1</v>
      </c>
      <c r="Q77" s="36" t="s">
        <v>166</v>
      </c>
      <c r="R77" s="36"/>
      <c r="S77" s="36" t="s">
        <v>7</v>
      </c>
      <c r="T77" s="36" t="s">
        <v>247</v>
      </c>
      <c r="U77" s="3" t="s">
        <v>169</v>
      </c>
      <c r="V77" s="3" t="s">
        <v>170</v>
      </c>
      <c r="W77" s="3"/>
      <c r="X77" s="3"/>
      <c r="Y77" s="36" t="str">
        <f>HYPERLINK("http://www.stromypodkontrolou.cz/map/?draw_selection_circle=1#%7B%22lat%22%3A%2049.6752986833%2C%20%22lng%22%3A%2018.6705778876%2C%20%22zoom%22%3A%2020%7D")</f>
        <v>http://www.stromypodkontrolou.cz/map/?draw_selection_circle=1#%7B%22lat%22%3A%2049.6752986833%2C%20%22lng%22%3A%2018.6705778876%2C%20%22zoom%22%3A%2020%7D</v>
      </c>
    </row>
    <row r="78" spans="1:25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" t="s">
        <v>171</v>
      </c>
      <c r="V78" s="3" t="s">
        <v>172</v>
      </c>
      <c r="W78" s="3"/>
      <c r="X78" s="3"/>
      <c r="Y78" s="36"/>
    </row>
    <row r="79" spans="1:25" ht="12.75">
      <c r="A79" s="36" t="s">
        <v>47</v>
      </c>
      <c r="B79" s="36">
        <v>122</v>
      </c>
      <c r="C79" s="36"/>
      <c r="D79" s="36" t="s">
        <v>24</v>
      </c>
      <c r="E79" s="36" t="s">
        <v>200</v>
      </c>
      <c r="F79" s="36">
        <v>17</v>
      </c>
      <c r="G79" s="36"/>
      <c r="H79" s="36"/>
      <c r="I79" s="36"/>
      <c r="J79" s="36">
        <v>53</v>
      </c>
      <c r="K79" s="36"/>
      <c r="L79" s="36"/>
      <c r="M79" s="36"/>
      <c r="N79" s="36">
        <v>17</v>
      </c>
      <c r="O79" s="36">
        <v>3</v>
      </c>
      <c r="P79" s="36">
        <v>3</v>
      </c>
      <c r="Q79" s="36" t="s">
        <v>181</v>
      </c>
      <c r="R79" s="36" t="s">
        <v>249</v>
      </c>
      <c r="S79" s="36" t="s">
        <v>250</v>
      </c>
      <c r="T79" s="36" t="s">
        <v>251</v>
      </c>
      <c r="U79" s="3" t="s">
        <v>191</v>
      </c>
      <c r="V79" s="3" t="s">
        <v>192</v>
      </c>
      <c r="W79" s="3"/>
      <c r="X79" s="3"/>
      <c r="Y79" s="36" t="str">
        <f>HYPERLINK("http://www.stromypodkontrolou.cz/map/?draw_selection_circle=1#%7B%22lat%22%3A%2049.6778281210956%2C%20%22lng%22%3A%2018.6458741999197%2C%20%22zoom%22%3A%2020%7D")</f>
        <v>http://www.stromypodkontrolou.cz/map/?draw_selection_circle=1#%7B%22lat%22%3A%2049.6778281210956%2C%20%22lng%22%3A%2018.6458741999197%2C%20%22zoom%22%3A%2020%7D</v>
      </c>
    </row>
    <row r="80" spans="1:25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" t="s">
        <v>171</v>
      </c>
      <c r="V80" s="3" t="s">
        <v>172</v>
      </c>
      <c r="W80" s="3"/>
      <c r="X80" s="3"/>
      <c r="Y80" s="36"/>
    </row>
    <row r="81" spans="1:25" ht="12.75">
      <c r="A81" s="3" t="s">
        <v>43</v>
      </c>
      <c r="B81" s="3">
        <v>140</v>
      </c>
      <c r="C81" s="3"/>
      <c r="D81" s="3" t="s">
        <v>11</v>
      </c>
      <c r="E81" s="3" t="s">
        <v>173</v>
      </c>
      <c r="F81" s="3">
        <v>25</v>
      </c>
      <c r="G81" s="3"/>
      <c r="H81" s="3"/>
      <c r="I81" s="3"/>
      <c r="J81" s="3">
        <v>79</v>
      </c>
      <c r="K81" s="3"/>
      <c r="L81" s="3"/>
      <c r="M81" s="3"/>
      <c r="N81" s="3">
        <v>19</v>
      </c>
      <c r="O81" s="3">
        <v>4</v>
      </c>
      <c r="P81" s="3">
        <v>6</v>
      </c>
      <c r="Q81" s="3" t="s">
        <v>181</v>
      </c>
      <c r="R81" s="3" t="s">
        <v>252</v>
      </c>
      <c r="S81" s="3" t="s">
        <v>7</v>
      </c>
      <c r="T81" s="3" t="s">
        <v>253</v>
      </c>
      <c r="U81" s="3" t="s">
        <v>191</v>
      </c>
      <c r="V81" s="3" t="s">
        <v>192</v>
      </c>
      <c r="W81" s="3"/>
      <c r="X81" s="3"/>
      <c r="Y81" s="3" t="str">
        <f>HYPERLINK("http://www.stromypodkontrolou.cz/map/?draw_selection_circle=1#%7B%22lat%22%3A%2049.6739519508125%2C%20%22lng%22%3A%2018.6700141931997%2C%20%22zoom%22%3A%2020%7D")</f>
        <v>http://www.stromypodkontrolou.cz/map/?draw_selection_circle=1#%7B%22lat%22%3A%2049.6739519508125%2C%20%22lng%22%3A%2018.6700141931997%2C%20%22zoom%22%3A%2020%7D</v>
      </c>
    </row>
    <row r="82" spans="1:25" ht="12.75">
      <c r="A82" s="36" t="s">
        <v>48</v>
      </c>
      <c r="B82" s="36">
        <v>27</v>
      </c>
      <c r="C82" s="36"/>
      <c r="D82" s="36" t="s">
        <v>24</v>
      </c>
      <c r="E82" s="36" t="s">
        <v>200</v>
      </c>
      <c r="F82" s="36">
        <v>34</v>
      </c>
      <c r="G82" s="36"/>
      <c r="H82" s="36"/>
      <c r="I82" s="36"/>
      <c r="J82" s="36">
        <v>107</v>
      </c>
      <c r="K82" s="36"/>
      <c r="L82" s="36"/>
      <c r="M82" s="36"/>
      <c r="N82" s="36">
        <v>18</v>
      </c>
      <c r="O82" s="36">
        <v>2</v>
      </c>
      <c r="P82" s="36">
        <v>7</v>
      </c>
      <c r="Q82" s="36" t="s">
        <v>166</v>
      </c>
      <c r="R82" s="36" t="s">
        <v>186</v>
      </c>
      <c r="S82" s="36" t="s">
        <v>189</v>
      </c>
      <c r="T82" s="36" t="s">
        <v>254</v>
      </c>
      <c r="U82" s="3" t="s">
        <v>191</v>
      </c>
      <c r="V82" s="3" t="s">
        <v>192</v>
      </c>
      <c r="W82" s="3"/>
      <c r="X82" s="3"/>
      <c r="Y82" s="36" t="str">
        <f>HYPERLINK("http://www.stromypodkontrolou.cz/map/?draw_selection_circle=1#%7B%22lat%22%3A%2049.663712261038%2C%20%22lng%22%3A%2018.6875587744694%2C%20%22zoom%22%3A%2020%7D")</f>
        <v>http://www.stromypodkontrolou.cz/map/?draw_selection_circle=1#%7B%22lat%22%3A%2049.663712261038%2C%20%22lng%22%3A%2018.6875587744694%2C%20%22zoom%22%3A%2020%7D</v>
      </c>
    </row>
    <row r="83" spans="1:25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" t="s">
        <v>171</v>
      </c>
      <c r="V83" s="3" t="s">
        <v>172</v>
      </c>
      <c r="W83" s="3"/>
      <c r="X83" s="3"/>
      <c r="Y83" s="36"/>
    </row>
    <row r="84" spans="1:25" ht="12.75">
      <c r="A84" s="3" t="s">
        <v>49</v>
      </c>
      <c r="B84" s="3">
        <v>19</v>
      </c>
      <c r="C84" s="3"/>
      <c r="D84" s="3" t="s">
        <v>23</v>
      </c>
      <c r="E84" s="3" t="s">
        <v>198</v>
      </c>
      <c r="F84" s="3">
        <v>17</v>
      </c>
      <c r="G84" s="3"/>
      <c r="H84" s="3"/>
      <c r="I84" s="3"/>
      <c r="J84" s="3">
        <v>53</v>
      </c>
      <c r="K84" s="3"/>
      <c r="L84" s="3"/>
      <c r="M84" s="3"/>
      <c r="N84" s="3">
        <v>12</v>
      </c>
      <c r="O84" s="3">
        <v>6</v>
      </c>
      <c r="P84" s="3">
        <v>3</v>
      </c>
      <c r="Q84" s="3" t="s">
        <v>181</v>
      </c>
      <c r="R84" s="3" t="s">
        <v>196</v>
      </c>
      <c r="S84" s="3" t="s">
        <v>189</v>
      </c>
      <c r="T84" s="3" t="s">
        <v>255</v>
      </c>
      <c r="U84" s="3" t="s">
        <v>169</v>
      </c>
      <c r="V84" s="3" t="s">
        <v>170</v>
      </c>
      <c r="W84" s="3"/>
      <c r="X84" s="3"/>
      <c r="Y84" s="3" t="str">
        <f>HYPERLINK("http://www.stromypodkontrolou.cz/map/?draw_selection_circle=1#%7B%22lat%22%3A%2049.6651923055565%2C%20%22lng%22%3A%2018.6825826314995%2C%20%22zoom%22%3A%2020%7D")</f>
        <v>http://www.stromypodkontrolou.cz/map/?draw_selection_circle=1#%7B%22lat%22%3A%2049.6651923055565%2C%20%22lng%22%3A%2018.6825826314995%2C%20%22zoom%22%3A%2020%7D</v>
      </c>
    </row>
    <row r="85" spans="1:25" ht="12.75">
      <c r="A85" s="3" t="s">
        <v>50</v>
      </c>
      <c r="B85" s="3">
        <v>40</v>
      </c>
      <c r="C85" s="3"/>
      <c r="D85" s="3" t="s">
        <v>23</v>
      </c>
      <c r="E85" s="3" t="s">
        <v>198</v>
      </c>
      <c r="F85" s="3">
        <v>22</v>
      </c>
      <c r="G85" s="3"/>
      <c r="H85" s="3"/>
      <c r="I85" s="3"/>
      <c r="J85" s="3">
        <v>69</v>
      </c>
      <c r="K85" s="3"/>
      <c r="L85" s="3"/>
      <c r="M85" s="3"/>
      <c r="N85" s="3">
        <v>20</v>
      </c>
      <c r="O85" s="3">
        <v>5</v>
      </c>
      <c r="P85" s="3">
        <v>2</v>
      </c>
      <c r="Q85" s="3" t="s">
        <v>181</v>
      </c>
      <c r="R85" s="3" t="s">
        <v>196</v>
      </c>
      <c r="S85" s="3" t="s">
        <v>189</v>
      </c>
      <c r="T85" s="3" t="s">
        <v>255</v>
      </c>
      <c r="U85" s="3" t="s">
        <v>218</v>
      </c>
      <c r="V85" s="3" t="s">
        <v>219</v>
      </c>
      <c r="W85" s="3"/>
      <c r="X85" s="3"/>
      <c r="Y85" s="3" t="str">
        <f>HYPERLINK("http://www.stromypodkontrolou.cz/map/?draw_selection_circle=1#%7B%22lat%22%3A%2049.6631911234966%2C%20%22lng%22%3A%2018.6839122911068%2C%20%22zoom%22%3A%2020%7D")</f>
        <v>http://www.stromypodkontrolou.cz/map/?draw_selection_circle=1#%7B%22lat%22%3A%2049.6631911234966%2C%20%22lng%22%3A%2018.6839122911068%2C%20%22zoom%22%3A%2020%7D</v>
      </c>
    </row>
    <row r="86" spans="1:25" ht="12.75">
      <c r="A86" s="3" t="s">
        <v>51</v>
      </c>
      <c r="B86" s="3">
        <v>54</v>
      </c>
      <c r="C86" s="3"/>
      <c r="D86" s="3" t="s">
        <v>11</v>
      </c>
      <c r="E86" s="3" t="s">
        <v>173</v>
      </c>
      <c r="F86" s="3">
        <v>21</v>
      </c>
      <c r="G86" s="3"/>
      <c r="H86" s="3"/>
      <c r="I86" s="3"/>
      <c r="J86" s="3">
        <v>66</v>
      </c>
      <c r="K86" s="3"/>
      <c r="L86" s="3"/>
      <c r="M86" s="3"/>
      <c r="N86" s="3">
        <v>13</v>
      </c>
      <c r="O86" s="3">
        <v>3</v>
      </c>
      <c r="P86" s="3">
        <v>4</v>
      </c>
      <c r="Q86" s="3" t="s">
        <v>166</v>
      </c>
      <c r="R86" s="3" t="s">
        <v>256</v>
      </c>
      <c r="S86" s="3" t="s">
        <v>189</v>
      </c>
      <c r="T86" s="3" t="s">
        <v>257</v>
      </c>
      <c r="U86" s="3" t="s">
        <v>218</v>
      </c>
      <c r="V86" s="3" t="s">
        <v>219</v>
      </c>
      <c r="W86" s="3"/>
      <c r="X86" s="3"/>
      <c r="Y86" s="3" t="str">
        <f>HYPERLINK("http://www.stromypodkontrolou.cz/map/?draw_selection_circle=1#%7B%22lat%22%3A%2049.6626183963%2C%20%22lng%22%3A%2018.6844744003%2C%20%22zoom%22%3A%2020%7D")</f>
        <v>http://www.stromypodkontrolou.cz/map/?draw_selection_circle=1#%7B%22lat%22%3A%2049.6626183963%2C%20%22lng%22%3A%2018.6844744003%2C%20%22zoom%22%3A%2020%7D</v>
      </c>
    </row>
    <row r="87" spans="1:25" ht="12.75">
      <c r="A87" s="3" t="s">
        <v>51</v>
      </c>
      <c r="B87" s="3">
        <v>53</v>
      </c>
      <c r="C87" s="3"/>
      <c r="D87" s="3" t="s">
        <v>10</v>
      </c>
      <c r="E87" s="3" t="s">
        <v>165</v>
      </c>
      <c r="F87" s="3">
        <v>6</v>
      </c>
      <c r="G87" s="3"/>
      <c r="H87" s="3"/>
      <c r="I87" s="3"/>
      <c r="J87" s="3">
        <v>19</v>
      </c>
      <c r="K87" s="3"/>
      <c r="L87" s="3"/>
      <c r="M87" s="3"/>
      <c r="N87" s="3">
        <v>6</v>
      </c>
      <c r="O87" s="3">
        <v>3</v>
      </c>
      <c r="P87" s="3">
        <v>3</v>
      </c>
      <c r="Q87" s="3" t="s">
        <v>179</v>
      </c>
      <c r="R87" s="3" t="s">
        <v>196</v>
      </c>
      <c r="S87" s="3" t="s">
        <v>189</v>
      </c>
      <c r="T87" s="3" t="s">
        <v>257</v>
      </c>
      <c r="U87" s="3" t="s">
        <v>169</v>
      </c>
      <c r="V87" s="3" t="s">
        <v>170</v>
      </c>
      <c r="W87" s="3"/>
      <c r="X87" s="3"/>
      <c r="Y87" s="3" t="str">
        <f>HYPERLINK("http://www.stromypodkontrolou.cz/map/?draw_selection_circle=1#%7B%22lat%22%3A%2049.662620581398%2C%20%22lng%22%3A%2018.6844839369121%2C%20%22zoom%22%3A%2020%7D")</f>
        <v>http://www.stromypodkontrolou.cz/map/?draw_selection_circle=1#%7B%22lat%22%3A%2049.662620581398%2C%20%22lng%22%3A%2018.6844839369121%2C%20%22zoom%22%3A%2020%7D</v>
      </c>
    </row>
    <row r="88" spans="1:25" ht="12.75">
      <c r="A88" s="36" t="s">
        <v>52</v>
      </c>
      <c r="B88" s="36">
        <v>25</v>
      </c>
      <c r="C88" s="36"/>
      <c r="D88" s="36" t="s">
        <v>53</v>
      </c>
      <c r="E88" s="36" t="s">
        <v>258</v>
      </c>
      <c r="F88" s="36">
        <v>23</v>
      </c>
      <c r="G88" s="36"/>
      <c r="H88" s="36"/>
      <c r="I88" s="36"/>
      <c r="J88" s="36">
        <v>72</v>
      </c>
      <c r="K88" s="36"/>
      <c r="L88" s="36"/>
      <c r="M88" s="36"/>
      <c r="N88" s="36">
        <v>6</v>
      </c>
      <c r="O88" s="36">
        <v>2</v>
      </c>
      <c r="P88" s="36">
        <v>5</v>
      </c>
      <c r="Q88" s="36" t="s">
        <v>166</v>
      </c>
      <c r="R88" s="36" t="s">
        <v>186</v>
      </c>
      <c r="S88" s="36" t="s">
        <v>189</v>
      </c>
      <c r="T88" s="36" t="s">
        <v>234</v>
      </c>
      <c r="U88" s="3" t="s">
        <v>169</v>
      </c>
      <c r="V88" s="3" t="s">
        <v>170</v>
      </c>
      <c r="W88" s="3"/>
      <c r="X88" s="3"/>
      <c r="Y88" s="36" t="str">
        <f>HYPERLINK("http://www.stromypodkontrolou.cz/map/?draw_selection_circle=1#%7B%22lat%22%3A%2049.6703758190489%2C%20%22lng%22%3A%2018.6797119831872%2C%20%22zoom%22%3A%2020%7D")</f>
        <v>http://www.stromypodkontrolou.cz/map/?draw_selection_circle=1#%7B%22lat%22%3A%2049.6703758190489%2C%20%22lng%22%3A%2018.6797119831872%2C%20%22zoom%22%3A%2020%7D</v>
      </c>
    </row>
    <row r="89" spans="1:25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" t="s">
        <v>171</v>
      </c>
      <c r="V89" s="3" t="s">
        <v>172</v>
      </c>
      <c r="W89" s="3"/>
      <c r="X89" s="3"/>
      <c r="Y89" s="36"/>
    </row>
    <row r="90" spans="1:25" ht="12.75">
      <c r="A90" s="3" t="s">
        <v>54</v>
      </c>
      <c r="B90" s="3">
        <v>34</v>
      </c>
      <c r="C90" s="3"/>
      <c r="D90" s="3" t="s">
        <v>55</v>
      </c>
      <c r="E90" s="3" t="s">
        <v>259</v>
      </c>
      <c r="F90" s="3">
        <v>14</v>
      </c>
      <c r="G90" s="3"/>
      <c r="H90" s="3"/>
      <c r="I90" s="3"/>
      <c r="J90" s="3">
        <v>44</v>
      </c>
      <c r="K90" s="3"/>
      <c r="L90" s="3"/>
      <c r="M90" s="3"/>
      <c r="N90" s="3">
        <v>5</v>
      </c>
      <c r="O90" s="3">
        <v>2</v>
      </c>
      <c r="P90" s="3">
        <v>4</v>
      </c>
      <c r="Q90" s="3" t="s">
        <v>166</v>
      </c>
      <c r="R90" s="3" t="s">
        <v>196</v>
      </c>
      <c r="S90" s="3" t="s">
        <v>7</v>
      </c>
      <c r="T90" s="3" t="s">
        <v>260</v>
      </c>
      <c r="U90" s="3" t="s">
        <v>169</v>
      </c>
      <c r="V90" s="3" t="s">
        <v>170</v>
      </c>
      <c r="W90" s="3"/>
      <c r="X90" s="3"/>
      <c r="Y90" s="3" t="str">
        <f>HYPERLINK("http://www.stromypodkontrolou.cz/map/?draw_selection_circle=1#%7B%22lat%22%3A%2049.6762723591358%2C%20%22lng%22%3A%2018.665656689976%2C%20%22zoom%22%3A%2020%7D")</f>
        <v>http://www.stromypodkontrolou.cz/map/?draw_selection_circle=1#%7B%22lat%22%3A%2049.6762723591358%2C%20%22lng%22%3A%2018.665656689976%2C%20%22zoom%22%3A%2020%7D</v>
      </c>
    </row>
    <row r="91" spans="1:25" ht="12.75">
      <c r="A91" s="3" t="s">
        <v>56</v>
      </c>
      <c r="B91" s="3">
        <v>245</v>
      </c>
      <c r="C91" s="3"/>
      <c r="D91" s="3" t="s">
        <v>57</v>
      </c>
      <c r="E91" s="3" t="s">
        <v>261</v>
      </c>
      <c r="F91" s="3">
        <v>37</v>
      </c>
      <c r="G91" s="3"/>
      <c r="H91" s="3"/>
      <c r="I91" s="3"/>
      <c r="J91" s="3">
        <v>116</v>
      </c>
      <c r="K91" s="3"/>
      <c r="L91" s="3"/>
      <c r="M91" s="3"/>
      <c r="N91" s="3">
        <v>12</v>
      </c>
      <c r="O91" s="3">
        <v>3</v>
      </c>
      <c r="P91" s="3">
        <v>7</v>
      </c>
      <c r="Q91" s="3" t="s">
        <v>181</v>
      </c>
      <c r="R91" s="3" t="s">
        <v>262</v>
      </c>
      <c r="S91" s="3" t="s">
        <v>7</v>
      </c>
      <c r="T91" s="3" t="s">
        <v>263</v>
      </c>
      <c r="U91" s="3" t="s">
        <v>218</v>
      </c>
      <c r="V91" s="3" t="s">
        <v>219</v>
      </c>
      <c r="W91" s="3" t="s">
        <v>264</v>
      </c>
      <c r="X91" s="3"/>
      <c r="Y91" s="3" t="str">
        <f>HYPERLINK("http://www.stromypodkontrolou.cz/map/?draw_selection_circle=1#%7B%22lat%22%3A%2049.671762613579%2C%20%22lng%22%3A%2018.6695169096935%2C%20%22zoom%22%3A%2020%7D")</f>
        <v>http://www.stromypodkontrolou.cz/map/?draw_selection_circle=1#%7B%22lat%22%3A%2049.671762613579%2C%20%22lng%22%3A%2018.6695169096935%2C%20%22zoom%22%3A%2020%7D</v>
      </c>
    </row>
    <row r="92" spans="1:25" ht="12.75">
      <c r="A92" s="3" t="s">
        <v>56</v>
      </c>
      <c r="B92" s="3">
        <v>116</v>
      </c>
      <c r="C92" s="3"/>
      <c r="D92" s="3" t="s">
        <v>21</v>
      </c>
      <c r="E92" s="3" t="s">
        <v>197</v>
      </c>
      <c r="F92" s="3">
        <v>22</v>
      </c>
      <c r="G92" s="3"/>
      <c r="H92" s="3"/>
      <c r="I92" s="3"/>
      <c r="J92" s="3">
        <v>69</v>
      </c>
      <c r="K92" s="3"/>
      <c r="L92" s="3"/>
      <c r="M92" s="3"/>
      <c r="N92" s="3">
        <v>15</v>
      </c>
      <c r="O92" s="3">
        <v>5</v>
      </c>
      <c r="P92" s="3">
        <v>6</v>
      </c>
      <c r="Q92" s="3" t="s">
        <v>181</v>
      </c>
      <c r="R92" s="3" t="s">
        <v>265</v>
      </c>
      <c r="S92" s="3" t="s">
        <v>7</v>
      </c>
      <c r="T92" s="3" t="s">
        <v>263</v>
      </c>
      <c r="U92" s="3" t="s">
        <v>218</v>
      </c>
      <c r="V92" s="3" t="s">
        <v>219</v>
      </c>
      <c r="W92" s="3"/>
      <c r="X92" s="3"/>
      <c r="Y92" s="3" t="str">
        <f>HYPERLINK("http://www.stromypodkontrolou.cz/map/?draw_selection_circle=1#%7B%22lat%22%3A%2049.673355013661%2C%20%22lng%22%3A%2018.6693837194379%2C%20%22zoom%22%3A%2020%7D")</f>
        <v>http://www.stromypodkontrolou.cz/map/?draw_selection_circle=1#%7B%22lat%22%3A%2049.673355013661%2C%20%22lng%22%3A%2018.6693837194379%2C%20%22zoom%22%3A%2020%7D</v>
      </c>
    </row>
    <row r="93" spans="1:25" ht="12.75">
      <c r="A93" s="36" t="s">
        <v>58</v>
      </c>
      <c r="B93" s="36">
        <v>515</v>
      </c>
      <c r="C93" s="36"/>
      <c r="D93" s="36" t="s">
        <v>41</v>
      </c>
      <c r="E93" s="36" t="s">
        <v>238</v>
      </c>
      <c r="F93" s="36">
        <v>19</v>
      </c>
      <c r="G93" s="36">
        <v>18</v>
      </c>
      <c r="H93" s="36">
        <v>14</v>
      </c>
      <c r="I93" s="36"/>
      <c r="J93" s="36">
        <v>60</v>
      </c>
      <c r="K93" s="36">
        <v>57</v>
      </c>
      <c r="L93" s="36">
        <v>44</v>
      </c>
      <c r="M93" s="36"/>
      <c r="N93" s="36">
        <v>9</v>
      </c>
      <c r="O93" s="36">
        <v>2</v>
      </c>
      <c r="P93" s="36">
        <v>6</v>
      </c>
      <c r="Q93" s="36" t="s">
        <v>181</v>
      </c>
      <c r="R93" s="36" t="s">
        <v>266</v>
      </c>
      <c r="S93" s="36" t="s">
        <v>7</v>
      </c>
      <c r="T93" s="36" t="s">
        <v>267</v>
      </c>
      <c r="U93" s="3" t="s">
        <v>171</v>
      </c>
      <c r="V93" s="3" t="s">
        <v>172</v>
      </c>
      <c r="W93" s="3"/>
      <c r="X93" s="3"/>
      <c r="Y93" s="36" t="str">
        <f>HYPERLINK("http://www.stromypodkontrolou.cz/map/?draw_selection_circle=1#%7B%22lat%22%3A%2049.6749872947%2C%20%22lng%22%3A%2018.6687587415%2C%20%22zoom%22%3A%2020%7D")</f>
        <v>http://www.stromypodkontrolou.cz/map/?draw_selection_circle=1#%7B%22lat%22%3A%2049.6749872947%2C%20%22lng%22%3A%2018.6687587415%2C%20%22zoom%22%3A%2020%7D</v>
      </c>
    </row>
    <row r="94" spans="1:25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" t="s">
        <v>191</v>
      </c>
      <c r="V94" s="3" t="s">
        <v>192</v>
      </c>
      <c r="W94" s="3"/>
      <c r="X94" s="3"/>
      <c r="Y94" s="36"/>
    </row>
    <row r="95" spans="1:25" ht="12.75">
      <c r="A95" s="36" t="s">
        <v>59</v>
      </c>
      <c r="B95" s="36">
        <v>8</v>
      </c>
      <c r="C95" s="36"/>
      <c r="D95" s="36" t="s">
        <v>23</v>
      </c>
      <c r="E95" s="36" t="s">
        <v>198</v>
      </c>
      <c r="F95" s="36">
        <v>24</v>
      </c>
      <c r="G95" s="36"/>
      <c r="H95" s="36"/>
      <c r="I95" s="36"/>
      <c r="J95" s="36">
        <v>75</v>
      </c>
      <c r="K95" s="36"/>
      <c r="L95" s="36"/>
      <c r="M95" s="36"/>
      <c r="N95" s="36">
        <v>14</v>
      </c>
      <c r="O95" s="36">
        <v>5</v>
      </c>
      <c r="P95" s="36">
        <v>6</v>
      </c>
      <c r="Q95" s="36" t="s">
        <v>181</v>
      </c>
      <c r="R95" s="36" t="s">
        <v>268</v>
      </c>
      <c r="S95" s="36" t="s">
        <v>7</v>
      </c>
      <c r="T95" s="36" t="s">
        <v>269</v>
      </c>
      <c r="U95" s="3" t="s">
        <v>218</v>
      </c>
      <c r="V95" s="3" t="s">
        <v>219</v>
      </c>
      <c r="W95" s="3"/>
      <c r="X95" s="3"/>
      <c r="Y95" s="36" t="str">
        <f>HYPERLINK("http://www.stromypodkontrolou.cz/map/?draw_selection_circle=1#%7B%22lat%22%3A%2049.6737153427337%2C%20%22lng%22%3A%2018.6686948426334%2C%20%22zoom%22%3A%2020%7D")</f>
        <v>http://www.stromypodkontrolou.cz/map/?draw_selection_circle=1#%7B%22lat%22%3A%2049.6737153427337%2C%20%22lng%22%3A%2018.6686948426334%2C%20%22zoom%22%3A%2020%7D</v>
      </c>
    </row>
    <row r="96" spans="1:25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" t="s">
        <v>171</v>
      </c>
      <c r="V96" s="3" t="s">
        <v>172</v>
      </c>
      <c r="W96" s="3"/>
      <c r="X96" s="3"/>
      <c r="Y96" s="36"/>
    </row>
    <row r="97" spans="1:25" ht="12.75">
      <c r="A97" s="36" t="s">
        <v>60</v>
      </c>
      <c r="B97" s="36">
        <v>124</v>
      </c>
      <c r="C97" s="36"/>
      <c r="D97" s="36" t="s">
        <v>61</v>
      </c>
      <c r="E97" s="36" t="s">
        <v>270</v>
      </c>
      <c r="F97" s="36">
        <v>9</v>
      </c>
      <c r="G97" s="36"/>
      <c r="H97" s="36"/>
      <c r="I97" s="36"/>
      <c r="J97" s="36">
        <v>28</v>
      </c>
      <c r="K97" s="36"/>
      <c r="L97" s="36"/>
      <c r="M97" s="36"/>
      <c r="N97" s="36">
        <v>4</v>
      </c>
      <c r="O97" s="36">
        <v>1</v>
      </c>
      <c r="P97" s="36">
        <v>2</v>
      </c>
      <c r="Q97" s="36" t="s">
        <v>166</v>
      </c>
      <c r="R97" s="36"/>
      <c r="S97" s="36" t="s">
        <v>189</v>
      </c>
      <c r="T97" s="36" t="s">
        <v>271</v>
      </c>
      <c r="U97" s="3" t="s">
        <v>169</v>
      </c>
      <c r="V97" s="3" t="s">
        <v>170</v>
      </c>
      <c r="W97" s="3"/>
      <c r="X97" s="3"/>
      <c r="Y97" s="36" t="str">
        <f>HYPERLINK("http://www.stromypodkontrolou.cz/map/?draw_selection_circle=1#%7B%22lat%22%3A%2049.6719168308591%2C%20%22lng%22%3A%2018.6773191134867%2C%20%22zoom%22%3A%2020%7D")</f>
        <v>http://www.stromypodkontrolou.cz/map/?draw_selection_circle=1#%7B%22lat%22%3A%2049.6719168308591%2C%20%22lng%22%3A%2018.6773191134867%2C%20%22zoom%22%3A%2020%7D</v>
      </c>
    </row>
    <row r="98" spans="1:25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" t="s">
        <v>171</v>
      </c>
      <c r="V98" s="3" t="s">
        <v>172</v>
      </c>
      <c r="W98" s="3"/>
      <c r="X98" s="3"/>
      <c r="Y98" s="36"/>
    </row>
    <row r="99" spans="1:25" ht="12.75">
      <c r="A99" s="36" t="s">
        <v>60</v>
      </c>
      <c r="B99" s="36">
        <v>122</v>
      </c>
      <c r="C99" s="36"/>
      <c r="D99" s="36" t="s">
        <v>62</v>
      </c>
      <c r="E99" s="36" t="s">
        <v>272</v>
      </c>
      <c r="F99" s="36">
        <v>16</v>
      </c>
      <c r="G99" s="36"/>
      <c r="H99" s="36"/>
      <c r="I99" s="36"/>
      <c r="J99" s="36">
        <v>50</v>
      </c>
      <c r="K99" s="36"/>
      <c r="L99" s="36"/>
      <c r="M99" s="36"/>
      <c r="N99" s="36">
        <v>5</v>
      </c>
      <c r="O99" s="36">
        <v>1</v>
      </c>
      <c r="P99" s="36">
        <v>3</v>
      </c>
      <c r="Q99" s="36" t="s">
        <v>166</v>
      </c>
      <c r="R99" s="36" t="s">
        <v>186</v>
      </c>
      <c r="S99" s="36" t="s">
        <v>189</v>
      </c>
      <c r="T99" s="36" t="s">
        <v>271</v>
      </c>
      <c r="U99" s="3" t="s">
        <v>169</v>
      </c>
      <c r="V99" s="3" t="s">
        <v>170</v>
      </c>
      <c r="W99" s="3"/>
      <c r="X99" s="3"/>
      <c r="Y99" s="36" t="str">
        <f>HYPERLINK("http://www.stromypodkontrolou.cz/map/?draw_selection_circle=1#%7B%22lat%22%3A%2049.6719050028145%2C%20%22lng%22%3A%2018.6772984963847%2C%20%22zoom%22%3A%2020%7D")</f>
        <v>http://www.stromypodkontrolou.cz/map/?draw_selection_circle=1#%7B%22lat%22%3A%2049.6719050028145%2C%20%22lng%22%3A%2018.6772984963847%2C%20%22zoom%22%3A%2020%7D</v>
      </c>
    </row>
    <row r="100" spans="1:25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" t="s">
        <v>171</v>
      </c>
      <c r="V100" s="3" t="s">
        <v>172</v>
      </c>
      <c r="W100" s="3"/>
      <c r="X100" s="3"/>
      <c r="Y100" s="36"/>
    </row>
    <row r="101" spans="1:25" ht="12.75">
      <c r="A101" s="36" t="s">
        <v>60</v>
      </c>
      <c r="B101" s="36">
        <v>120</v>
      </c>
      <c r="C101" s="36"/>
      <c r="D101" s="36" t="s">
        <v>62</v>
      </c>
      <c r="E101" s="36" t="s">
        <v>272</v>
      </c>
      <c r="F101" s="36">
        <v>16</v>
      </c>
      <c r="G101" s="36"/>
      <c r="H101" s="36"/>
      <c r="I101" s="36"/>
      <c r="J101" s="36">
        <v>50</v>
      </c>
      <c r="K101" s="36"/>
      <c r="L101" s="36"/>
      <c r="M101" s="36"/>
      <c r="N101" s="36">
        <v>5</v>
      </c>
      <c r="O101" s="36">
        <v>3</v>
      </c>
      <c r="P101" s="36">
        <v>4</v>
      </c>
      <c r="Q101" s="36" t="s">
        <v>181</v>
      </c>
      <c r="R101" s="36" t="s">
        <v>184</v>
      </c>
      <c r="S101" s="36" t="s">
        <v>189</v>
      </c>
      <c r="T101" s="36" t="s">
        <v>271</v>
      </c>
      <c r="U101" s="3" t="s">
        <v>171</v>
      </c>
      <c r="V101" s="3" t="s">
        <v>172</v>
      </c>
      <c r="W101" s="3"/>
      <c r="X101" s="3"/>
      <c r="Y101" s="36" t="str">
        <f>HYPERLINK("http://www.stromypodkontrolou.cz/map/?draw_selection_circle=1#%7B%22lat%22%3A%2049.6718891534316%2C%20%22lng%22%3A%2018.677315187727%2C%20%22zoom%22%3A%2020%7D")</f>
        <v>http://www.stromypodkontrolou.cz/map/?draw_selection_circle=1#%7B%22lat%22%3A%2049.6718891534316%2C%20%22lng%22%3A%2018.677315187727%2C%20%22zoom%22%3A%2020%7D</v>
      </c>
    </row>
    <row r="102" spans="1:25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" t="s">
        <v>169</v>
      </c>
      <c r="V102" s="3" t="s">
        <v>170</v>
      </c>
      <c r="W102" s="3"/>
      <c r="X102" s="3"/>
      <c r="Y102" s="36"/>
    </row>
    <row r="103" spans="1:25" ht="12.75">
      <c r="A103" s="36" t="s">
        <v>63</v>
      </c>
      <c r="B103" s="36">
        <v>267</v>
      </c>
      <c r="C103" s="36"/>
      <c r="D103" s="36" t="s">
        <v>21</v>
      </c>
      <c r="E103" s="36" t="s">
        <v>197</v>
      </c>
      <c r="F103" s="36">
        <v>30</v>
      </c>
      <c r="G103" s="36"/>
      <c r="H103" s="36"/>
      <c r="I103" s="36"/>
      <c r="J103" s="36">
        <v>94</v>
      </c>
      <c r="K103" s="36"/>
      <c r="L103" s="36"/>
      <c r="M103" s="36"/>
      <c r="N103" s="36">
        <v>22</v>
      </c>
      <c r="O103" s="36">
        <v>3</v>
      </c>
      <c r="P103" s="36">
        <v>6</v>
      </c>
      <c r="Q103" s="36" t="s">
        <v>181</v>
      </c>
      <c r="R103" s="36" t="s">
        <v>273</v>
      </c>
      <c r="S103" s="36" t="s">
        <v>189</v>
      </c>
      <c r="T103" s="36" t="s">
        <v>274</v>
      </c>
      <c r="U103" s="3" t="s">
        <v>191</v>
      </c>
      <c r="V103" s="3" t="s">
        <v>192</v>
      </c>
      <c r="W103" s="3"/>
      <c r="X103" s="3"/>
      <c r="Y103" s="36" t="str">
        <f>HYPERLINK("http://www.stromypodkontrolou.cz/map/?draw_selection_circle=1#%7B%22lat%22%3A%2049.6717044890993%2C%20%22lng%22%3A%2018.6794294326991%2C%20%22zoom%22%3A%2020%7D")</f>
        <v>http://www.stromypodkontrolou.cz/map/?draw_selection_circle=1#%7B%22lat%22%3A%2049.6717044890993%2C%20%22lng%22%3A%2018.6794294326991%2C%20%22zoom%22%3A%2020%7D</v>
      </c>
    </row>
    <row r="104" spans="1:25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" t="s">
        <v>171</v>
      </c>
      <c r="V104" s="3" t="s">
        <v>172</v>
      </c>
      <c r="W104" s="3"/>
      <c r="X104" s="3"/>
      <c r="Y104" s="36"/>
    </row>
    <row r="105" spans="1:25" ht="12.75">
      <c r="A105" s="36" t="s">
        <v>64</v>
      </c>
      <c r="B105" s="36">
        <v>50</v>
      </c>
      <c r="C105" s="36"/>
      <c r="D105" s="36" t="s">
        <v>10</v>
      </c>
      <c r="E105" s="36" t="s">
        <v>165</v>
      </c>
      <c r="F105" s="36">
        <v>15</v>
      </c>
      <c r="G105" s="36"/>
      <c r="H105" s="36"/>
      <c r="I105" s="36"/>
      <c r="J105" s="36">
        <v>47</v>
      </c>
      <c r="K105" s="36"/>
      <c r="L105" s="36"/>
      <c r="M105" s="36"/>
      <c r="N105" s="36">
        <v>10</v>
      </c>
      <c r="O105" s="36">
        <v>2</v>
      </c>
      <c r="P105" s="36">
        <v>4</v>
      </c>
      <c r="Q105" s="36" t="s">
        <v>166</v>
      </c>
      <c r="R105" s="36" t="s">
        <v>196</v>
      </c>
      <c r="S105" s="36" t="s">
        <v>189</v>
      </c>
      <c r="T105" s="36" t="s">
        <v>275</v>
      </c>
      <c r="U105" s="3" t="s">
        <v>169</v>
      </c>
      <c r="V105" s="3" t="s">
        <v>170</v>
      </c>
      <c r="W105" s="3"/>
      <c r="X105" s="3"/>
      <c r="Y105" s="36" t="str">
        <f>HYPERLINK("http://www.stromypodkontrolou.cz/map/?draw_selection_circle=1#%7B%22lat%22%3A%2049.6631931753%2C%20%22lng%22%3A%2018.6850327648%2C%20%22zoom%22%3A%2020%7D")</f>
        <v>http://www.stromypodkontrolou.cz/map/?draw_selection_circle=1#%7B%22lat%22%3A%2049.6631931753%2C%20%22lng%22%3A%2018.6850327648%2C%20%22zoom%22%3A%2020%7D</v>
      </c>
    </row>
    <row r="106" spans="1:25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" t="s">
        <v>171</v>
      </c>
      <c r="V106" s="3" t="s">
        <v>172</v>
      </c>
      <c r="W106" s="3"/>
      <c r="X106" s="3"/>
      <c r="Y106" s="36"/>
    </row>
    <row r="107" spans="1:25" ht="12.75">
      <c r="A107" s="36" t="s">
        <v>48</v>
      </c>
      <c r="B107" s="36">
        <v>25</v>
      </c>
      <c r="C107" s="36"/>
      <c r="D107" s="36" t="s">
        <v>24</v>
      </c>
      <c r="E107" s="36" t="s">
        <v>200</v>
      </c>
      <c r="F107" s="36">
        <v>24</v>
      </c>
      <c r="G107" s="36"/>
      <c r="H107" s="36"/>
      <c r="I107" s="36"/>
      <c r="J107" s="36">
        <v>75</v>
      </c>
      <c r="K107" s="36"/>
      <c r="L107" s="36"/>
      <c r="M107" s="36"/>
      <c r="N107" s="36">
        <v>18</v>
      </c>
      <c r="O107" s="36">
        <v>10</v>
      </c>
      <c r="P107" s="36">
        <v>4</v>
      </c>
      <c r="Q107" s="36" t="s">
        <v>181</v>
      </c>
      <c r="R107" s="36" t="s">
        <v>196</v>
      </c>
      <c r="S107" s="36" t="s">
        <v>189</v>
      </c>
      <c r="T107" s="36" t="s">
        <v>254</v>
      </c>
      <c r="U107" s="3" t="s">
        <v>218</v>
      </c>
      <c r="V107" s="3" t="s">
        <v>219</v>
      </c>
      <c r="W107" s="3"/>
      <c r="X107" s="3"/>
      <c r="Y107" s="36" t="str">
        <f>HYPERLINK("http://www.stromypodkontrolou.cz/map/?draw_selection_circle=1#%7B%22lat%22%3A%2049.6637656491114%2C%20%22lng%22%3A%2018.6877088215842%2C%20%22zoom%22%3A%2020%7D")</f>
        <v>http://www.stromypodkontrolou.cz/map/?draw_selection_circle=1#%7B%22lat%22%3A%2049.6637656491114%2C%20%22lng%22%3A%2018.6877088215842%2C%20%22zoom%22%3A%2020%7D</v>
      </c>
    </row>
    <row r="108" spans="1:25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" t="s">
        <v>171</v>
      </c>
      <c r="V108" s="3" t="s">
        <v>172</v>
      </c>
      <c r="W108" s="3"/>
      <c r="X108" s="3"/>
      <c r="Y108" s="36"/>
    </row>
    <row r="109" spans="1:25" ht="12.75">
      <c r="A109" s="36" t="s">
        <v>48</v>
      </c>
      <c r="B109" s="36">
        <v>28</v>
      </c>
      <c r="C109" s="36"/>
      <c r="D109" s="36" t="s">
        <v>24</v>
      </c>
      <c r="E109" s="36" t="s">
        <v>200</v>
      </c>
      <c r="F109" s="36">
        <v>10</v>
      </c>
      <c r="G109" s="36">
        <v>8</v>
      </c>
      <c r="H109" s="36">
        <v>5</v>
      </c>
      <c r="I109" s="36">
        <v>5</v>
      </c>
      <c r="J109" s="36">
        <v>31</v>
      </c>
      <c r="K109" s="36">
        <v>25</v>
      </c>
      <c r="L109" s="36">
        <v>16</v>
      </c>
      <c r="M109" s="36">
        <v>16</v>
      </c>
      <c r="N109" s="36">
        <v>6</v>
      </c>
      <c r="O109" s="36">
        <v>2</v>
      </c>
      <c r="P109" s="36">
        <v>4</v>
      </c>
      <c r="Q109" s="36" t="s">
        <v>181</v>
      </c>
      <c r="R109" s="36" t="s">
        <v>239</v>
      </c>
      <c r="S109" s="36" t="s">
        <v>189</v>
      </c>
      <c r="T109" s="36" t="s">
        <v>276</v>
      </c>
      <c r="U109" s="3" t="s">
        <v>171</v>
      </c>
      <c r="V109" s="3" t="s">
        <v>172</v>
      </c>
      <c r="W109" s="3"/>
      <c r="X109" s="3"/>
      <c r="Y109" s="36" t="str">
        <f>HYPERLINK("http://www.stromypodkontrolou.cz/map/?draw_selection_circle=1#%7B%22lat%22%3A%2049.6637106767%2C%20%22lng%22%3A%2018.6874993425%2C%20%22zoom%22%3A%2020%7D")</f>
        <v>http://www.stromypodkontrolou.cz/map/?draw_selection_circle=1#%7B%22lat%22%3A%2049.6637106767%2C%20%22lng%22%3A%2018.6874993425%2C%20%22zoom%22%3A%2020%7D</v>
      </c>
    </row>
    <row r="110" spans="1:25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" t="s">
        <v>169</v>
      </c>
      <c r="V110" s="3" t="s">
        <v>170</v>
      </c>
      <c r="W110" s="3"/>
      <c r="X110" s="3"/>
      <c r="Y110" s="36"/>
    </row>
    <row r="111" spans="1:25" ht="12.75">
      <c r="A111" s="36" t="s">
        <v>48</v>
      </c>
      <c r="B111" s="36">
        <v>17</v>
      </c>
      <c r="C111" s="36"/>
      <c r="D111" s="36" t="s">
        <v>24</v>
      </c>
      <c r="E111" s="36" t="s">
        <v>200</v>
      </c>
      <c r="F111" s="36">
        <v>25</v>
      </c>
      <c r="G111" s="36"/>
      <c r="H111" s="36"/>
      <c r="I111" s="36"/>
      <c r="J111" s="36">
        <v>79</v>
      </c>
      <c r="K111" s="36"/>
      <c r="L111" s="36"/>
      <c r="M111" s="36"/>
      <c r="N111" s="36">
        <v>16</v>
      </c>
      <c r="O111" s="36">
        <v>5</v>
      </c>
      <c r="P111" s="36">
        <v>5</v>
      </c>
      <c r="Q111" s="36" t="s">
        <v>166</v>
      </c>
      <c r="R111" s="36" t="s">
        <v>277</v>
      </c>
      <c r="S111" s="36" t="s">
        <v>189</v>
      </c>
      <c r="T111" s="36" t="s">
        <v>254</v>
      </c>
      <c r="U111" s="3" t="s">
        <v>218</v>
      </c>
      <c r="V111" s="3" t="s">
        <v>219</v>
      </c>
      <c r="W111" s="3"/>
      <c r="X111" s="3"/>
      <c r="Y111" s="36" t="str">
        <f>HYPERLINK("http://www.stromypodkontrolou.cz/map/?draw_selection_circle=1#%7B%22lat%22%3A%2049.6636703819334%2C%20%22lng%22%3A%2018.6877297905806%2C%20%22zoom%22%3A%2020%7D")</f>
        <v>http://www.stromypodkontrolou.cz/map/?draw_selection_circle=1#%7B%22lat%22%3A%2049.6636703819334%2C%20%22lng%22%3A%2018.6877297905806%2C%20%22zoom%22%3A%2020%7D</v>
      </c>
    </row>
    <row r="112" spans="1:25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" t="s">
        <v>171</v>
      </c>
      <c r="V112" s="3" t="s">
        <v>172</v>
      </c>
      <c r="W112" s="3"/>
      <c r="X112" s="3"/>
      <c r="Y112" s="36"/>
    </row>
    <row r="113" spans="1:25" ht="12.75">
      <c r="A113" s="36" t="s">
        <v>48</v>
      </c>
      <c r="B113" s="36">
        <v>40</v>
      </c>
      <c r="C113" s="36"/>
      <c r="D113" s="36" t="s">
        <v>24</v>
      </c>
      <c r="E113" s="36" t="s">
        <v>200</v>
      </c>
      <c r="F113" s="36">
        <v>13</v>
      </c>
      <c r="G113" s="36"/>
      <c r="H113" s="36"/>
      <c r="I113" s="36"/>
      <c r="J113" s="36">
        <v>41</v>
      </c>
      <c r="K113" s="36"/>
      <c r="L113" s="36"/>
      <c r="M113" s="36"/>
      <c r="N113" s="36">
        <v>5</v>
      </c>
      <c r="O113" s="36">
        <v>2</v>
      </c>
      <c r="P113" s="36">
        <v>4</v>
      </c>
      <c r="Q113" s="36" t="s">
        <v>166</v>
      </c>
      <c r="R113" s="36" t="s">
        <v>196</v>
      </c>
      <c r="S113" s="36" t="s">
        <v>189</v>
      </c>
      <c r="T113" s="36" t="s">
        <v>278</v>
      </c>
      <c r="U113" s="3" t="s">
        <v>171</v>
      </c>
      <c r="V113" s="3" t="s">
        <v>172</v>
      </c>
      <c r="W113" s="3"/>
      <c r="X113" s="3"/>
      <c r="Y113" s="36" t="str">
        <f>HYPERLINK("http://www.stromypodkontrolou.cz/map/?draw_selection_circle=1#%7B%22lat%22%3A%2049.6639721999%2C%20%22lng%22%3A%2018.6875923833%2C%20%22zoom%22%3A%2020%7D")</f>
        <v>http://www.stromypodkontrolou.cz/map/?draw_selection_circle=1#%7B%22lat%22%3A%2049.6639721999%2C%20%22lng%22%3A%2018.6875923833%2C%20%22zoom%22%3A%2020%7D</v>
      </c>
    </row>
    <row r="114" spans="1:25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" t="s">
        <v>169</v>
      </c>
      <c r="V114" s="3" t="s">
        <v>170</v>
      </c>
      <c r="W114" s="3"/>
      <c r="X114" s="3"/>
      <c r="Y114" s="36"/>
    </row>
    <row r="115" spans="1:25" ht="12.75">
      <c r="A115" s="3" t="s">
        <v>33</v>
      </c>
      <c r="B115" s="3">
        <v>29</v>
      </c>
      <c r="C115" s="3"/>
      <c r="D115" s="3" t="s">
        <v>42</v>
      </c>
      <c r="E115" s="3" t="s">
        <v>241</v>
      </c>
      <c r="F115" s="3">
        <v>13</v>
      </c>
      <c r="G115" s="3"/>
      <c r="H115" s="3"/>
      <c r="I115" s="3"/>
      <c r="J115" s="3">
        <v>41</v>
      </c>
      <c r="K115" s="3"/>
      <c r="L115" s="3"/>
      <c r="M115" s="3"/>
      <c r="N115" s="3">
        <v>8</v>
      </c>
      <c r="O115" s="3">
        <v>1</v>
      </c>
      <c r="P115" s="3">
        <v>4</v>
      </c>
      <c r="Q115" s="3" t="s">
        <v>179</v>
      </c>
      <c r="R115" s="3" t="s">
        <v>196</v>
      </c>
      <c r="S115" s="3" t="s">
        <v>189</v>
      </c>
      <c r="T115" s="3" t="s">
        <v>279</v>
      </c>
      <c r="U115" s="3" t="s">
        <v>169</v>
      </c>
      <c r="V115" s="3" t="s">
        <v>170</v>
      </c>
      <c r="W115" s="3"/>
      <c r="X115" s="3"/>
      <c r="Y115" s="3" t="str">
        <f>HYPERLINK("http://www.stromypodkontrolou.cz/map/?draw_selection_circle=1#%7B%22lat%22%3A%2049.6612946721281%2C%20%22lng%22%3A%2018.6763035591501%2C%20%22zoom%22%3A%2020%7D")</f>
        <v>http://www.stromypodkontrolou.cz/map/?draw_selection_circle=1#%7B%22lat%22%3A%2049.6612946721281%2C%20%22lng%22%3A%2018.6763035591501%2C%20%22zoom%22%3A%2020%7D</v>
      </c>
    </row>
    <row r="116" spans="1:25" ht="12.75">
      <c r="A116" s="3" t="s">
        <v>26</v>
      </c>
      <c r="B116" s="3">
        <v>336</v>
      </c>
      <c r="C116" s="3"/>
      <c r="D116" s="3" t="s">
        <v>65</v>
      </c>
      <c r="E116" s="3" t="s">
        <v>280</v>
      </c>
      <c r="F116" s="3">
        <v>9</v>
      </c>
      <c r="G116" s="3"/>
      <c r="H116" s="3"/>
      <c r="I116" s="3"/>
      <c r="J116" s="3">
        <v>28</v>
      </c>
      <c r="K116" s="3"/>
      <c r="L116" s="3"/>
      <c r="M116" s="3"/>
      <c r="N116" s="3">
        <v>4</v>
      </c>
      <c r="O116" s="3">
        <v>1</v>
      </c>
      <c r="P116" s="3">
        <v>3</v>
      </c>
      <c r="Q116" s="3" t="s">
        <v>166</v>
      </c>
      <c r="R116" s="3" t="s">
        <v>281</v>
      </c>
      <c r="S116" s="3" t="s">
        <v>189</v>
      </c>
      <c r="T116" s="3"/>
      <c r="U116" s="3" t="s">
        <v>169</v>
      </c>
      <c r="V116" s="3" t="s">
        <v>170</v>
      </c>
      <c r="W116" s="3"/>
      <c r="X116" s="3"/>
      <c r="Y116" s="3" t="str">
        <f>HYPERLINK("http://www.stromypodkontrolou.cz/map/?draw_selection_circle=1#%7B%22lat%22%3A%2049.6613551216356%2C%20%22lng%22%3A%2018.6762428496759%2C%20%22zoom%22%3A%2020%7D")</f>
        <v>http://www.stromypodkontrolou.cz/map/?draw_selection_circle=1#%7B%22lat%22%3A%2049.6613551216356%2C%20%22lng%22%3A%2018.6762428496759%2C%20%22zoom%22%3A%2020%7D</v>
      </c>
    </row>
    <row r="117" spans="1:25" ht="12.75">
      <c r="A117" s="3" t="s">
        <v>33</v>
      </c>
      <c r="B117" s="3">
        <v>27</v>
      </c>
      <c r="C117" s="3"/>
      <c r="D117" s="3" t="s">
        <v>42</v>
      </c>
      <c r="E117" s="3" t="s">
        <v>241</v>
      </c>
      <c r="F117" s="3">
        <v>19</v>
      </c>
      <c r="G117" s="3"/>
      <c r="H117" s="3"/>
      <c r="I117" s="3"/>
      <c r="J117" s="3">
        <v>60</v>
      </c>
      <c r="K117" s="3"/>
      <c r="L117" s="3"/>
      <c r="M117" s="3"/>
      <c r="N117" s="3">
        <v>11</v>
      </c>
      <c r="O117" s="3">
        <v>2</v>
      </c>
      <c r="P117" s="3">
        <v>3</v>
      </c>
      <c r="Q117" s="3" t="s">
        <v>166</v>
      </c>
      <c r="R117" s="3" t="s">
        <v>196</v>
      </c>
      <c r="S117" s="3" t="s">
        <v>189</v>
      </c>
      <c r="T117" s="3" t="s">
        <v>279</v>
      </c>
      <c r="U117" s="3" t="s">
        <v>191</v>
      </c>
      <c r="V117" s="3" t="s">
        <v>192</v>
      </c>
      <c r="W117" s="3"/>
      <c r="X117" s="3"/>
      <c r="Y117" s="3" t="str">
        <f>HYPERLINK("http://www.stromypodkontrolou.cz/map/?draw_selection_circle=1#%7B%22lat%22%3A%2049.6613069079539%2C%20%22lng%22%3A%2018.6762818281498%2C%20%22zoom%22%3A%2020%7D")</f>
        <v>http://www.stromypodkontrolou.cz/map/?draw_selection_circle=1#%7B%22lat%22%3A%2049.6613069079539%2C%20%22lng%22%3A%2018.6762818281498%2C%20%22zoom%22%3A%2020%7D</v>
      </c>
    </row>
    <row r="118" spans="1:25" ht="12.75">
      <c r="A118" s="36" t="s">
        <v>66</v>
      </c>
      <c r="B118" s="36">
        <v>138</v>
      </c>
      <c r="C118" s="36"/>
      <c r="D118" s="36" t="s">
        <v>13</v>
      </c>
      <c r="E118" s="36" t="s">
        <v>175</v>
      </c>
      <c r="F118" s="36">
        <v>9</v>
      </c>
      <c r="G118" s="36"/>
      <c r="H118" s="36"/>
      <c r="I118" s="36"/>
      <c r="J118" s="36">
        <v>28</v>
      </c>
      <c r="K118" s="36"/>
      <c r="L118" s="36"/>
      <c r="M118" s="36"/>
      <c r="N118" s="36">
        <v>10</v>
      </c>
      <c r="O118" s="36">
        <v>1</v>
      </c>
      <c r="P118" s="36">
        <v>2</v>
      </c>
      <c r="Q118" s="36" t="s">
        <v>166</v>
      </c>
      <c r="R118" s="36" t="s">
        <v>196</v>
      </c>
      <c r="S118" s="36" t="s">
        <v>189</v>
      </c>
      <c r="T118" s="36" t="s">
        <v>282</v>
      </c>
      <c r="U118" s="3" t="s">
        <v>169</v>
      </c>
      <c r="V118" s="3" t="s">
        <v>170</v>
      </c>
      <c r="W118" s="3"/>
      <c r="X118" s="3"/>
      <c r="Y118" s="36" t="str">
        <f>HYPERLINK("http://www.stromypodkontrolou.cz/map/?draw_selection_circle=1#%7B%22lat%22%3A%2049.6628522846096%2C%20%22lng%22%3A%2018.6827307817603%2C%20%22zoom%22%3A%2020%7D")</f>
        <v>http://www.stromypodkontrolou.cz/map/?draw_selection_circle=1#%7B%22lat%22%3A%2049.6628522846096%2C%20%22lng%22%3A%2018.6827307817603%2C%20%22zoom%22%3A%2020%7D</v>
      </c>
    </row>
    <row r="119" spans="1:25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" t="s">
        <v>171</v>
      </c>
      <c r="V119" s="3" t="s">
        <v>172</v>
      </c>
      <c r="W119" s="3"/>
      <c r="X119" s="3"/>
      <c r="Y119" s="36"/>
    </row>
    <row r="120" spans="1:25" ht="12.75">
      <c r="A120" s="36" t="s">
        <v>66</v>
      </c>
      <c r="B120" s="36">
        <v>139</v>
      </c>
      <c r="C120" s="36"/>
      <c r="D120" s="36" t="s">
        <v>13</v>
      </c>
      <c r="E120" s="36" t="s">
        <v>175</v>
      </c>
      <c r="F120" s="36">
        <v>14</v>
      </c>
      <c r="G120" s="36">
        <v>12</v>
      </c>
      <c r="H120" s="36"/>
      <c r="I120" s="36"/>
      <c r="J120" s="36">
        <v>44</v>
      </c>
      <c r="K120" s="36">
        <v>38</v>
      </c>
      <c r="L120" s="36"/>
      <c r="M120" s="36"/>
      <c r="N120" s="36">
        <v>13</v>
      </c>
      <c r="O120" s="36">
        <v>2</v>
      </c>
      <c r="P120" s="36">
        <v>3</v>
      </c>
      <c r="Q120" s="36" t="s">
        <v>181</v>
      </c>
      <c r="R120" s="36" t="s">
        <v>283</v>
      </c>
      <c r="S120" s="36" t="s">
        <v>189</v>
      </c>
      <c r="T120" s="36" t="s">
        <v>282</v>
      </c>
      <c r="U120" s="3" t="s">
        <v>218</v>
      </c>
      <c r="V120" s="3" t="s">
        <v>219</v>
      </c>
      <c r="W120" s="3"/>
      <c r="X120" s="3"/>
      <c r="Y120" s="36" t="str">
        <f>HYPERLINK("http://www.stromypodkontrolou.cz/map/?draw_selection_circle=1#%7B%22lat%22%3A%2049.6628429816888%2C%20%22lng%22%3A%2018.6827356156904%2C%20%22zoom%22%3A%2020%7D")</f>
        <v>http://www.stromypodkontrolou.cz/map/?draw_selection_circle=1#%7B%22lat%22%3A%2049.6628429816888%2C%20%22lng%22%3A%2018.6827356156904%2C%20%22zoom%22%3A%2020%7D</v>
      </c>
    </row>
    <row r="121" spans="1:25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" t="s">
        <v>171</v>
      </c>
      <c r="V121" s="3" t="s">
        <v>172</v>
      </c>
      <c r="W121" s="3"/>
      <c r="X121" s="3"/>
      <c r="Y121" s="36"/>
    </row>
    <row r="122" spans="1:25" ht="12.75">
      <c r="A122" s="36" t="s">
        <v>35</v>
      </c>
      <c r="B122" s="36">
        <v>36</v>
      </c>
      <c r="C122" s="36"/>
      <c r="D122" s="36" t="s">
        <v>67</v>
      </c>
      <c r="E122" s="36" t="s">
        <v>284</v>
      </c>
      <c r="F122" s="36">
        <v>13</v>
      </c>
      <c r="G122" s="36"/>
      <c r="H122" s="36"/>
      <c r="I122" s="36"/>
      <c r="J122" s="36">
        <v>41</v>
      </c>
      <c r="K122" s="36"/>
      <c r="L122" s="36"/>
      <c r="M122" s="36"/>
      <c r="N122" s="36">
        <v>8</v>
      </c>
      <c r="O122" s="36">
        <v>1</v>
      </c>
      <c r="P122" s="36">
        <v>3</v>
      </c>
      <c r="Q122" s="36" t="s">
        <v>166</v>
      </c>
      <c r="R122" s="36" t="s">
        <v>199</v>
      </c>
      <c r="S122" s="36" t="s">
        <v>189</v>
      </c>
      <c r="T122" s="36" t="s">
        <v>223</v>
      </c>
      <c r="U122" s="3" t="s">
        <v>171</v>
      </c>
      <c r="V122" s="3" t="s">
        <v>172</v>
      </c>
      <c r="W122" s="3"/>
      <c r="X122" s="3"/>
      <c r="Y122" s="36" t="str">
        <f>HYPERLINK("http://www.stromypodkontrolou.cz/map/?draw_selection_circle=1#%7B%22lat%22%3A%2049.6677278845626%2C%20%22lng%22%3A%2018.6792238795041%2C%20%22zoom%22%3A%2020%7D")</f>
        <v>http://www.stromypodkontrolou.cz/map/?draw_selection_circle=1#%7B%22lat%22%3A%2049.6677278845626%2C%20%22lng%22%3A%2018.6792238795041%2C%20%22zoom%22%3A%2020%7D</v>
      </c>
    </row>
    <row r="123" spans="1:25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" t="s">
        <v>169</v>
      </c>
      <c r="V123" s="3" t="s">
        <v>170</v>
      </c>
      <c r="W123" s="3"/>
      <c r="X123" s="3"/>
      <c r="Y123" s="36"/>
    </row>
    <row r="124" spans="1:25" ht="12.75">
      <c r="A124" s="3" t="s">
        <v>68</v>
      </c>
      <c r="B124" s="3">
        <v>16</v>
      </c>
      <c r="C124" s="3" t="s">
        <v>69</v>
      </c>
      <c r="D124" s="3" t="s">
        <v>70</v>
      </c>
      <c r="E124" s="3" t="s">
        <v>285</v>
      </c>
      <c r="F124" s="3">
        <v>15</v>
      </c>
      <c r="G124" s="3">
        <v>12</v>
      </c>
      <c r="H124" s="3"/>
      <c r="I124" s="3"/>
      <c r="J124" s="3">
        <v>47</v>
      </c>
      <c r="K124" s="3">
        <v>38</v>
      </c>
      <c r="L124" s="3"/>
      <c r="M124" s="3"/>
      <c r="N124" s="3">
        <v>10</v>
      </c>
      <c r="O124" s="3">
        <v>3</v>
      </c>
      <c r="P124" s="3">
        <v>3</v>
      </c>
      <c r="Q124" s="3" t="s">
        <v>166</v>
      </c>
      <c r="R124" s="3" t="s">
        <v>196</v>
      </c>
      <c r="S124" s="3" t="s">
        <v>189</v>
      </c>
      <c r="T124" s="3" t="s">
        <v>286</v>
      </c>
      <c r="U124" s="3" t="s">
        <v>169</v>
      </c>
      <c r="V124" s="3" t="s">
        <v>170</v>
      </c>
      <c r="W124" s="3"/>
      <c r="X124" s="3"/>
      <c r="Y124" s="3" t="str">
        <f>HYPERLINK("http://www.stromypodkontrolou.cz/map/?draw_selection_circle=1#%7B%22lat%22%3A%2049.66808010645%2C%20%22lng%22%3A%2018.6794141173391%2C%20%22zoom%22%3A%2020%7D")</f>
        <v>http://www.stromypodkontrolou.cz/map/?draw_selection_circle=1#%7B%22lat%22%3A%2049.66808010645%2C%20%22lng%22%3A%2018.6794141173391%2C%20%22zoom%22%3A%2020%7D</v>
      </c>
    </row>
    <row r="125" spans="1:25" ht="12.75">
      <c r="A125" s="3" t="s">
        <v>68</v>
      </c>
      <c r="B125" s="3">
        <v>4</v>
      </c>
      <c r="C125" s="3" t="s">
        <v>71</v>
      </c>
      <c r="D125" s="3" t="s">
        <v>23</v>
      </c>
      <c r="E125" s="3" t="s">
        <v>198</v>
      </c>
      <c r="F125" s="3">
        <v>24</v>
      </c>
      <c r="G125" s="3"/>
      <c r="H125" s="3"/>
      <c r="I125" s="3"/>
      <c r="J125" s="3">
        <v>75</v>
      </c>
      <c r="K125" s="3"/>
      <c r="L125" s="3"/>
      <c r="M125" s="3"/>
      <c r="N125" s="3">
        <v>22</v>
      </c>
      <c r="O125" s="3">
        <v>12</v>
      </c>
      <c r="P125" s="3">
        <v>4</v>
      </c>
      <c r="Q125" s="3" t="s">
        <v>166</v>
      </c>
      <c r="R125" s="3" t="s">
        <v>196</v>
      </c>
      <c r="S125" s="3" t="s">
        <v>189</v>
      </c>
      <c r="T125" s="3" t="s">
        <v>287</v>
      </c>
      <c r="U125" s="3" t="s">
        <v>169</v>
      </c>
      <c r="V125" s="3" t="s">
        <v>170</v>
      </c>
      <c r="W125" s="3"/>
      <c r="X125" s="3"/>
      <c r="Y125" s="3" t="str">
        <f>HYPERLINK("http://www.stromypodkontrolou.cz/map/?draw_selection_circle=1#%7B%22lat%22%3A%2049.6682601064435%2C%20%22lng%22%3A%2018.6790091172012%2C%20%22zoom%22%3A%2020%7D")</f>
        <v>http://www.stromypodkontrolou.cz/map/?draw_selection_circle=1#%7B%22lat%22%3A%2049.6682601064435%2C%20%22lng%22%3A%2018.6790091172012%2C%20%22zoom%22%3A%2020%7D</v>
      </c>
    </row>
    <row r="126" spans="1:25" ht="12.75">
      <c r="A126" s="36" t="s">
        <v>25</v>
      </c>
      <c r="B126" s="36">
        <v>109</v>
      </c>
      <c r="C126" s="36"/>
      <c r="D126" s="36" t="s">
        <v>28</v>
      </c>
      <c r="E126" s="36" t="s">
        <v>207</v>
      </c>
      <c r="F126" s="36">
        <v>15</v>
      </c>
      <c r="G126" s="36"/>
      <c r="H126" s="36"/>
      <c r="I126" s="36"/>
      <c r="J126" s="36">
        <v>47</v>
      </c>
      <c r="K126" s="36"/>
      <c r="L126" s="36"/>
      <c r="M126" s="36"/>
      <c r="N126" s="36">
        <v>7</v>
      </c>
      <c r="O126" s="36">
        <v>0</v>
      </c>
      <c r="P126" s="36">
        <v>2</v>
      </c>
      <c r="Q126" s="36" t="s">
        <v>166</v>
      </c>
      <c r="R126" s="36" t="s">
        <v>288</v>
      </c>
      <c r="S126" s="36" t="s">
        <v>189</v>
      </c>
      <c r="T126" s="36" t="s">
        <v>203</v>
      </c>
      <c r="U126" s="3" t="s">
        <v>171</v>
      </c>
      <c r="V126" s="3" t="s">
        <v>172</v>
      </c>
      <c r="W126" s="3"/>
      <c r="X126" s="3"/>
      <c r="Y126" s="36" t="str">
        <f>HYPERLINK("http://www.stromypodkontrolou.cz/map/?draw_selection_circle=1#%7B%22lat%22%3A%2049.6653533968419%2C%20%22lng%22%3A%2018.6730397384373%2C%20%22zoom%22%3A%2020%7D")</f>
        <v>http://www.stromypodkontrolou.cz/map/?draw_selection_circle=1#%7B%22lat%22%3A%2049.6653533968419%2C%20%22lng%22%3A%2018.6730397384373%2C%20%22zoom%22%3A%2020%7D</v>
      </c>
    </row>
    <row r="127" spans="1:25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" t="s">
        <v>169</v>
      </c>
      <c r="V127" s="3" t="s">
        <v>170</v>
      </c>
      <c r="W127" s="3"/>
      <c r="X127" s="3"/>
      <c r="Y127" s="36"/>
    </row>
    <row r="128" spans="1:25" ht="12.75">
      <c r="A128" s="3" t="s">
        <v>25</v>
      </c>
      <c r="B128" s="3">
        <v>102</v>
      </c>
      <c r="C128" s="3"/>
      <c r="D128" s="3" t="s">
        <v>41</v>
      </c>
      <c r="E128" s="3" t="s">
        <v>238</v>
      </c>
      <c r="F128" s="3">
        <v>38</v>
      </c>
      <c r="G128" s="3"/>
      <c r="H128" s="3"/>
      <c r="I128" s="3"/>
      <c r="J128" s="3">
        <v>119</v>
      </c>
      <c r="K128" s="3"/>
      <c r="L128" s="3"/>
      <c r="M128" s="3"/>
      <c r="N128" s="3">
        <v>13</v>
      </c>
      <c r="O128" s="3">
        <v>5</v>
      </c>
      <c r="P128" s="3">
        <v>9</v>
      </c>
      <c r="Q128" s="3" t="s">
        <v>181</v>
      </c>
      <c r="R128" s="3" t="s">
        <v>289</v>
      </c>
      <c r="S128" s="3" t="s">
        <v>189</v>
      </c>
      <c r="T128" s="3" t="s">
        <v>290</v>
      </c>
      <c r="U128" s="3" t="s">
        <v>169</v>
      </c>
      <c r="V128" s="3" t="s">
        <v>170</v>
      </c>
      <c r="W128" s="3"/>
      <c r="X128" s="3"/>
      <c r="Y128" s="3" t="str">
        <f>HYPERLINK("http://www.stromypodkontrolou.cz/map/?draw_selection_circle=1#%7B%22lat%22%3A%2049.6657759714852%2C%20%22lng%22%3A%2018.6726406818739%2C%20%22zoom%22%3A%2020%7D")</f>
        <v>http://www.stromypodkontrolou.cz/map/?draw_selection_circle=1#%7B%22lat%22%3A%2049.6657759714852%2C%20%22lng%22%3A%2018.6726406818739%2C%20%22zoom%22%3A%2020%7D</v>
      </c>
    </row>
    <row r="129" spans="1:25" ht="12.75">
      <c r="A129" s="36" t="s">
        <v>26</v>
      </c>
      <c r="B129" s="36">
        <v>213</v>
      </c>
      <c r="C129" s="36"/>
      <c r="D129" s="36" t="s">
        <v>13</v>
      </c>
      <c r="E129" s="36" t="s">
        <v>175</v>
      </c>
      <c r="F129" s="36">
        <v>27</v>
      </c>
      <c r="G129" s="36"/>
      <c r="H129" s="36"/>
      <c r="I129" s="36"/>
      <c r="J129" s="36">
        <v>85</v>
      </c>
      <c r="K129" s="36"/>
      <c r="L129" s="36"/>
      <c r="M129" s="36"/>
      <c r="N129" s="36">
        <v>16</v>
      </c>
      <c r="O129" s="36">
        <v>2</v>
      </c>
      <c r="P129" s="36">
        <v>7</v>
      </c>
      <c r="Q129" s="36" t="s">
        <v>179</v>
      </c>
      <c r="R129" s="36" t="s">
        <v>291</v>
      </c>
      <c r="S129" s="36" t="s">
        <v>189</v>
      </c>
      <c r="T129" s="36" t="s">
        <v>206</v>
      </c>
      <c r="U129" s="3" t="s">
        <v>169</v>
      </c>
      <c r="V129" s="3" t="s">
        <v>170</v>
      </c>
      <c r="W129" s="3"/>
      <c r="X129" s="3"/>
      <c r="Y129" s="36" t="str">
        <f>HYPERLINK("http://www.stromypodkontrolou.cz/map/?draw_selection_circle=1#%7B%22lat%22%3A%2049.6646778155%2C%20%22lng%22%3A%2018.6738312779%2C%20%22zoom%22%3A%2020%7D")</f>
        <v>http://www.stromypodkontrolou.cz/map/?draw_selection_circle=1#%7B%22lat%22%3A%2049.6646778155%2C%20%22lng%22%3A%2018.6738312779%2C%20%22zoom%22%3A%2020%7D</v>
      </c>
    </row>
    <row r="130" spans="1:25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" t="s">
        <v>171</v>
      </c>
      <c r="V130" s="3" t="s">
        <v>172</v>
      </c>
      <c r="W130" s="3"/>
      <c r="X130" s="3"/>
      <c r="Y130" s="36"/>
    </row>
    <row r="131" spans="1:25" ht="12.75">
      <c r="A131" s="36" t="s">
        <v>26</v>
      </c>
      <c r="B131" s="36">
        <v>214</v>
      </c>
      <c r="C131" s="36"/>
      <c r="D131" s="36" t="s">
        <v>28</v>
      </c>
      <c r="E131" s="36" t="s">
        <v>207</v>
      </c>
      <c r="F131" s="36">
        <v>12</v>
      </c>
      <c r="G131" s="36">
        <v>11</v>
      </c>
      <c r="H131" s="36">
        <v>5</v>
      </c>
      <c r="I131" s="36"/>
      <c r="J131" s="36">
        <v>38</v>
      </c>
      <c r="K131" s="36">
        <v>35</v>
      </c>
      <c r="L131" s="36">
        <v>16</v>
      </c>
      <c r="M131" s="36"/>
      <c r="N131" s="36">
        <v>4</v>
      </c>
      <c r="O131" s="36">
        <v>0</v>
      </c>
      <c r="P131" s="36">
        <v>5</v>
      </c>
      <c r="Q131" s="36" t="s">
        <v>181</v>
      </c>
      <c r="R131" s="36" t="s">
        <v>208</v>
      </c>
      <c r="S131" s="36" t="s">
        <v>189</v>
      </c>
      <c r="T131" s="36" t="s">
        <v>206</v>
      </c>
      <c r="U131" s="3" t="s">
        <v>169</v>
      </c>
      <c r="V131" s="3" t="s">
        <v>170</v>
      </c>
      <c r="W131" s="3"/>
      <c r="X131" s="3"/>
      <c r="Y131" s="36" t="str">
        <f>HYPERLINK("http://www.stromypodkontrolou.cz/map/?draw_selection_circle=1#%7B%22lat%22%3A%2049.6646641294%2C%20%22lng%22%3A%2018.673866125%2C%20%22zoom%22%3A%2020%7D")</f>
        <v>http://www.stromypodkontrolou.cz/map/?draw_selection_circle=1#%7B%22lat%22%3A%2049.6646641294%2C%20%22lng%22%3A%2018.673866125%2C%20%22zoom%22%3A%2020%7D</v>
      </c>
    </row>
    <row r="132" spans="1:25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" t="s">
        <v>171</v>
      </c>
      <c r="V132" s="3" t="s">
        <v>172</v>
      </c>
      <c r="W132" s="3"/>
      <c r="X132" s="3"/>
      <c r="Y132" s="36"/>
    </row>
    <row r="133" spans="1:25" ht="12.75">
      <c r="A133" s="36" t="s">
        <v>26</v>
      </c>
      <c r="B133" s="36">
        <v>287</v>
      </c>
      <c r="C133" s="36"/>
      <c r="D133" s="36" t="s">
        <v>72</v>
      </c>
      <c r="E133" s="36" t="s">
        <v>292</v>
      </c>
      <c r="F133" s="36">
        <v>36</v>
      </c>
      <c r="G133" s="36"/>
      <c r="H133" s="36"/>
      <c r="I133" s="36"/>
      <c r="J133" s="36">
        <v>113</v>
      </c>
      <c r="K133" s="36"/>
      <c r="L133" s="36"/>
      <c r="M133" s="36"/>
      <c r="N133" s="36">
        <v>12</v>
      </c>
      <c r="O133" s="36">
        <v>0</v>
      </c>
      <c r="P133" s="36">
        <v>6</v>
      </c>
      <c r="Q133" s="36" t="s">
        <v>179</v>
      </c>
      <c r="R133" s="36" t="s">
        <v>293</v>
      </c>
      <c r="S133" s="36" t="s">
        <v>189</v>
      </c>
      <c r="T133" s="36" t="s">
        <v>206</v>
      </c>
      <c r="U133" s="3" t="s">
        <v>169</v>
      </c>
      <c r="V133" s="3" t="s">
        <v>170</v>
      </c>
      <c r="W133" s="3"/>
      <c r="X133" s="3"/>
      <c r="Y133" s="36" t="str">
        <f>HYPERLINK("http://www.stromypodkontrolou.cz/map/?draw_selection_circle=1#%7B%22lat%22%3A%2049.6651969921372%2C%20%22lng%22%3A%2018.6740638464872%2C%20%22zoom%22%3A%2020%7D")</f>
        <v>http://www.stromypodkontrolou.cz/map/?draw_selection_circle=1#%7B%22lat%22%3A%2049.6651969921372%2C%20%22lng%22%3A%2018.6740638464872%2C%20%22zoom%22%3A%2020%7D</v>
      </c>
    </row>
    <row r="134" spans="1:25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" t="s">
        <v>171</v>
      </c>
      <c r="V134" s="3" t="s">
        <v>172</v>
      </c>
      <c r="W134" s="3"/>
      <c r="X134" s="3"/>
      <c r="Y134" s="36"/>
    </row>
    <row r="135" spans="1:25" ht="12.75">
      <c r="A135" s="3" t="s">
        <v>43</v>
      </c>
      <c r="B135" s="3">
        <v>180</v>
      </c>
      <c r="C135" s="3"/>
      <c r="D135" s="3" t="s">
        <v>45</v>
      </c>
      <c r="E135" s="3" t="s">
        <v>245</v>
      </c>
      <c r="F135" s="3">
        <v>5</v>
      </c>
      <c r="G135" s="3"/>
      <c r="H135" s="3"/>
      <c r="I135" s="3"/>
      <c r="J135" s="3">
        <v>16</v>
      </c>
      <c r="K135" s="3"/>
      <c r="L135" s="3"/>
      <c r="M135" s="3"/>
      <c r="N135" s="3">
        <v>4</v>
      </c>
      <c r="O135" s="3">
        <v>2</v>
      </c>
      <c r="P135" s="3">
        <v>1</v>
      </c>
      <c r="Q135" s="3" t="s">
        <v>166</v>
      </c>
      <c r="R135" s="3" t="s">
        <v>294</v>
      </c>
      <c r="S135" s="3" t="s">
        <v>7</v>
      </c>
      <c r="T135" s="3" t="s">
        <v>295</v>
      </c>
      <c r="U135" s="3" t="s">
        <v>169</v>
      </c>
      <c r="V135" s="3" t="s">
        <v>170</v>
      </c>
      <c r="W135" s="3"/>
      <c r="X135" s="3"/>
      <c r="Y135" s="3" t="str">
        <f>HYPERLINK("http://www.stromypodkontrolou.cz/map/?draw_selection_circle=1#%7B%22lat%22%3A%2049.6759660020219%2C%20%22lng%22%3A%2018.668533640637%2C%20%22zoom%22%3A%2020%7D")</f>
        <v>http://www.stromypodkontrolou.cz/map/?draw_selection_circle=1#%7B%22lat%22%3A%2049.6759660020219%2C%20%22lng%22%3A%2018.668533640637%2C%20%22zoom%22%3A%2020%7D</v>
      </c>
    </row>
    <row r="136" spans="1:25" ht="12.75">
      <c r="A136" s="36" t="s">
        <v>38</v>
      </c>
      <c r="B136" s="36">
        <v>84</v>
      </c>
      <c r="C136" s="36"/>
      <c r="D136" s="36" t="s">
        <v>24</v>
      </c>
      <c r="E136" s="36" t="s">
        <v>200</v>
      </c>
      <c r="F136" s="36">
        <v>43</v>
      </c>
      <c r="G136" s="36"/>
      <c r="H136" s="36"/>
      <c r="I136" s="36"/>
      <c r="J136" s="36">
        <v>135</v>
      </c>
      <c r="K136" s="36"/>
      <c r="L136" s="36"/>
      <c r="M136" s="36"/>
      <c r="N136" s="36">
        <v>14</v>
      </c>
      <c r="O136" s="36">
        <v>2</v>
      </c>
      <c r="P136" s="36">
        <v>9</v>
      </c>
      <c r="Q136" s="36" t="s">
        <v>181</v>
      </c>
      <c r="R136" s="36" t="s">
        <v>296</v>
      </c>
      <c r="S136" s="36" t="s">
        <v>189</v>
      </c>
      <c r="T136" s="36" t="s">
        <v>237</v>
      </c>
      <c r="U136" s="3" t="s">
        <v>218</v>
      </c>
      <c r="V136" s="3" t="s">
        <v>219</v>
      </c>
      <c r="W136" s="3"/>
      <c r="X136" s="3"/>
      <c r="Y136" s="36" t="str">
        <f>HYPERLINK("http://www.stromypodkontrolou.cz/map/?draw_selection_circle=1#%7B%22lat%22%3A%2049.6621202628836%2C%20%22lng%22%3A%2018.678069907652%2C%20%22zoom%22%3A%2020%7D")</f>
        <v>http://www.stromypodkontrolou.cz/map/?draw_selection_circle=1#%7B%22lat%22%3A%2049.6621202628836%2C%20%22lng%22%3A%2018.678069907652%2C%20%22zoom%22%3A%2020%7D</v>
      </c>
    </row>
    <row r="137" spans="1:25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" t="s">
        <v>171</v>
      </c>
      <c r="V137" s="3" t="s">
        <v>172</v>
      </c>
      <c r="W137" s="3"/>
      <c r="X137" s="3"/>
      <c r="Y137" s="36"/>
    </row>
    <row r="138" spans="1:25" ht="12.75">
      <c r="A138" s="36" t="s">
        <v>73</v>
      </c>
      <c r="B138" s="36">
        <v>150</v>
      </c>
      <c r="C138" s="36"/>
      <c r="D138" s="36" t="s">
        <v>11</v>
      </c>
      <c r="E138" s="36" t="s">
        <v>173</v>
      </c>
      <c r="F138" s="36">
        <v>44</v>
      </c>
      <c r="G138" s="36"/>
      <c r="H138" s="36"/>
      <c r="I138" s="36"/>
      <c r="J138" s="36">
        <v>138</v>
      </c>
      <c r="K138" s="36"/>
      <c r="L138" s="36"/>
      <c r="M138" s="36"/>
      <c r="N138" s="36">
        <v>17</v>
      </c>
      <c r="O138" s="36">
        <v>4</v>
      </c>
      <c r="P138" s="36">
        <v>9</v>
      </c>
      <c r="Q138" s="36" t="s">
        <v>181</v>
      </c>
      <c r="R138" s="36" t="s">
        <v>297</v>
      </c>
      <c r="S138" s="36" t="s">
        <v>189</v>
      </c>
      <c r="T138" s="36" t="s">
        <v>298</v>
      </c>
      <c r="U138" s="3" t="s">
        <v>218</v>
      </c>
      <c r="V138" s="3" t="s">
        <v>219</v>
      </c>
      <c r="W138" s="3"/>
      <c r="X138" s="3"/>
      <c r="Y138" s="36" t="str">
        <f>HYPERLINK("http://www.stromypodkontrolou.cz/map/?draw_selection_circle=1#%7B%22lat%22%3A%2049.6630612898914%2C%20%22lng%22%3A%2018.6782923169975%2C%20%22zoom%22%3A%2020%7D")</f>
        <v>http://www.stromypodkontrolou.cz/map/?draw_selection_circle=1#%7B%22lat%22%3A%2049.6630612898914%2C%20%22lng%22%3A%2018.6782923169975%2C%20%22zoom%22%3A%2020%7D</v>
      </c>
    </row>
    <row r="139" spans="1:25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" t="s">
        <v>171</v>
      </c>
      <c r="V139" s="3" t="s">
        <v>172</v>
      </c>
      <c r="W139" s="3"/>
      <c r="X139" s="3"/>
      <c r="Y139" s="36"/>
    </row>
    <row r="140" spans="1:25" ht="12.75">
      <c r="A140" s="36" t="s">
        <v>74</v>
      </c>
      <c r="B140" s="36">
        <v>97</v>
      </c>
      <c r="C140" s="36"/>
      <c r="D140" s="36" t="s">
        <v>11</v>
      </c>
      <c r="E140" s="36" t="s">
        <v>173</v>
      </c>
      <c r="F140" s="36">
        <v>35</v>
      </c>
      <c r="G140" s="36">
        <v>34</v>
      </c>
      <c r="H140" s="36">
        <v>21</v>
      </c>
      <c r="I140" s="36"/>
      <c r="J140" s="36">
        <v>110</v>
      </c>
      <c r="K140" s="36">
        <v>107</v>
      </c>
      <c r="L140" s="36">
        <v>66</v>
      </c>
      <c r="M140" s="36"/>
      <c r="N140" s="36">
        <v>19</v>
      </c>
      <c r="O140" s="36">
        <v>8</v>
      </c>
      <c r="P140" s="36">
        <v>9</v>
      </c>
      <c r="Q140" s="36" t="s">
        <v>181</v>
      </c>
      <c r="R140" s="36" t="s">
        <v>299</v>
      </c>
      <c r="S140" s="36" t="s">
        <v>7</v>
      </c>
      <c r="T140" s="36" t="s">
        <v>300</v>
      </c>
      <c r="U140" s="3" t="s">
        <v>191</v>
      </c>
      <c r="V140" s="3" t="s">
        <v>192</v>
      </c>
      <c r="W140" s="3"/>
      <c r="X140" s="3"/>
      <c r="Y140" s="36" t="str">
        <f>HYPERLINK("http://www.stromypodkontrolou.cz/map/?draw_selection_circle=1#%7B%22lat%22%3A%2049.6782768486776%2C%20%22lng%22%3A%2018.6670023682137%2C%20%22zoom%22%3A%2020%7D")</f>
        <v>http://www.stromypodkontrolou.cz/map/?draw_selection_circle=1#%7B%22lat%22%3A%2049.6782768486776%2C%20%22lng%22%3A%2018.6670023682137%2C%20%22zoom%22%3A%2020%7D</v>
      </c>
    </row>
    <row r="141" spans="1:25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" t="s">
        <v>171</v>
      </c>
      <c r="V141" s="3" t="s">
        <v>172</v>
      </c>
      <c r="W141" s="3"/>
      <c r="X141" s="3"/>
      <c r="Y141" s="36"/>
    </row>
    <row r="142" spans="1:25" ht="12.75">
      <c r="A142" s="3" t="s">
        <v>75</v>
      </c>
      <c r="B142" s="3">
        <v>1</v>
      </c>
      <c r="C142" s="3"/>
      <c r="D142" s="3" t="s">
        <v>11</v>
      </c>
      <c r="E142" s="3" t="s">
        <v>173</v>
      </c>
      <c r="F142" s="3">
        <v>37</v>
      </c>
      <c r="G142" s="3"/>
      <c r="H142" s="3"/>
      <c r="I142" s="3"/>
      <c r="J142" s="3">
        <v>116</v>
      </c>
      <c r="K142" s="3"/>
      <c r="L142" s="3"/>
      <c r="M142" s="3"/>
      <c r="N142" s="3">
        <v>21</v>
      </c>
      <c r="O142" s="3">
        <v>4</v>
      </c>
      <c r="P142" s="3">
        <v>8</v>
      </c>
      <c r="Q142" s="3" t="s">
        <v>301</v>
      </c>
      <c r="R142" s="3" t="s">
        <v>302</v>
      </c>
      <c r="S142" s="3" t="s">
        <v>7</v>
      </c>
      <c r="T142" s="3" t="s">
        <v>303</v>
      </c>
      <c r="U142" s="3" t="s">
        <v>191</v>
      </c>
      <c r="V142" s="3" t="s">
        <v>192</v>
      </c>
      <c r="W142" s="3"/>
      <c r="X142" s="3"/>
      <c r="Y142" s="3" t="str">
        <f>HYPERLINK("http://www.stromypodkontrolou.cz/map/?draw_selection_circle=1#%7B%22lat%22%3A%2049.671932940084%2C%20%22lng%22%3A%2018.6731960012067%2C%20%22zoom%22%3A%2020%7D")</f>
        <v>http://www.stromypodkontrolou.cz/map/?draw_selection_circle=1#%7B%22lat%22%3A%2049.671932940084%2C%20%22lng%22%3A%2018.6731960012067%2C%20%22zoom%22%3A%2020%7D</v>
      </c>
    </row>
    <row r="143" spans="1:25" ht="12.75">
      <c r="A143" s="36" t="s">
        <v>76</v>
      </c>
      <c r="B143" s="36">
        <v>8</v>
      </c>
      <c r="C143" s="36"/>
      <c r="D143" s="36" t="s">
        <v>77</v>
      </c>
      <c r="E143" s="36" t="s">
        <v>304</v>
      </c>
      <c r="F143" s="36">
        <v>18</v>
      </c>
      <c r="G143" s="36"/>
      <c r="H143" s="36"/>
      <c r="I143" s="36"/>
      <c r="J143" s="36">
        <v>57</v>
      </c>
      <c r="K143" s="36"/>
      <c r="L143" s="36"/>
      <c r="M143" s="36"/>
      <c r="N143" s="36">
        <v>8</v>
      </c>
      <c r="O143" s="36">
        <v>2</v>
      </c>
      <c r="P143" s="36">
        <v>8</v>
      </c>
      <c r="Q143" s="36" t="s">
        <v>166</v>
      </c>
      <c r="R143" s="36" t="s">
        <v>305</v>
      </c>
      <c r="S143" s="36" t="s">
        <v>7</v>
      </c>
      <c r="T143" s="36" t="s">
        <v>306</v>
      </c>
      <c r="U143" s="3" t="s">
        <v>169</v>
      </c>
      <c r="V143" s="3" t="s">
        <v>170</v>
      </c>
      <c r="W143" s="3"/>
      <c r="X143" s="3"/>
      <c r="Y143" s="36" t="str">
        <f>HYPERLINK("http://www.stromypodkontrolou.cz/map/?draw_selection_circle=1#%7B%22lat%22%3A%2049.6716136120666%2C%20%22lng%22%3A%2018.6753868267092%2C%20%22zoom%22%3A%2020%7D")</f>
        <v>http://www.stromypodkontrolou.cz/map/?draw_selection_circle=1#%7B%22lat%22%3A%2049.6716136120666%2C%20%22lng%22%3A%2018.6753868267092%2C%20%22zoom%22%3A%2020%7D</v>
      </c>
    </row>
    <row r="144" spans="1:25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" t="s">
        <v>171</v>
      </c>
      <c r="V144" s="3" t="s">
        <v>172</v>
      </c>
      <c r="W144" s="3"/>
      <c r="X144" s="3"/>
      <c r="Y144" s="36"/>
    </row>
    <row r="145" spans="1:25" ht="12.75">
      <c r="A145" s="3" t="s">
        <v>78</v>
      </c>
      <c r="B145" s="3">
        <v>48</v>
      </c>
      <c r="C145" s="3" t="s">
        <v>79</v>
      </c>
      <c r="D145" s="3" t="s">
        <v>11</v>
      </c>
      <c r="E145" s="3" t="s">
        <v>173</v>
      </c>
      <c r="F145" s="3">
        <v>82</v>
      </c>
      <c r="G145" s="3"/>
      <c r="H145" s="3"/>
      <c r="I145" s="3"/>
      <c r="J145" s="3">
        <v>258</v>
      </c>
      <c r="K145" s="3"/>
      <c r="L145" s="3"/>
      <c r="M145" s="3"/>
      <c r="N145" s="3">
        <v>22</v>
      </c>
      <c r="O145" s="3">
        <v>10</v>
      </c>
      <c r="P145" s="3">
        <v>12</v>
      </c>
      <c r="Q145" s="3" t="s">
        <v>181</v>
      </c>
      <c r="R145" s="3" t="s">
        <v>305</v>
      </c>
      <c r="S145" s="3" t="s">
        <v>189</v>
      </c>
      <c r="T145" s="3" t="s">
        <v>307</v>
      </c>
      <c r="U145" s="3" t="s">
        <v>169</v>
      </c>
      <c r="V145" s="3" t="s">
        <v>170</v>
      </c>
      <c r="W145" s="3"/>
      <c r="X145" s="3"/>
      <c r="Y145" s="3" t="str">
        <f>HYPERLINK("http://www.stromypodkontrolou.cz/map/?draw_selection_circle=1#%7B%22lat%22%3A%2049.6715601162282%2C%20%22lng%22%3A%2018.6734821278283%2C%20%22zoom%22%3A%2020%7D")</f>
        <v>http://www.stromypodkontrolou.cz/map/?draw_selection_circle=1#%7B%22lat%22%3A%2049.6715601162282%2C%20%22lng%22%3A%2018.6734821278283%2C%20%22zoom%22%3A%2020%7D</v>
      </c>
    </row>
    <row r="146" spans="1:25" ht="12.75">
      <c r="A146" s="3" t="s">
        <v>78</v>
      </c>
      <c r="B146" s="3">
        <v>29</v>
      </c>
      <c r="C146" s="3" t="s">
        <v>80</v>
      </c>
      <c r="D146" s="3" t="s">
        <v>11</v>
      </c>
      <c r="E146" s="3" t="s">
        <v>173</v>
      </c>
      <c r="F146" s="3">
        <v>52</v>
      </c>
      <c r="G146" s="3"/>
      <c r="H146" s="3"/>
      <c r="I146" s="3"/>
      <c r="J146" s="3">
        <v>163</v>
      </c>
      <c r="K146" s="3"/>
      <c r="L146" s="3"/>
      <c r="M146" s="3"/>
      <c r="N146" s="3">
        <v>27</v>
      </c>
      <c r="O146" s="3">
        <v>5</v>
      </c>
      <c r="P146" s="3">
        <v>10</v>
      </c>
      <c r="Q146" s="3" t="s">
        <v>301</v>
      </c>
      <c r="R146" s="3" t="s">
        <v>308</v>
      </c>
      <c r="S146" s="3" t="s">
        <v>7</v>
      </c>
      <c r="T146" s="3" t="s">
        <v>303</v>
      </c>
      <c r="U146" s="3" t="s">
        <v>169</v>
      </c>
      <c r="V146" s="3" t="s">
        <v>170</v>
      </c>
      <c r="W146" s="3"/>
      <c r="X146" s="3"/>
      <c r="Y146" s="3" t="str">
        <f>HYPERLINK("http://www.stromypodkontrolou.cz/map/?draw_selection_circle=1#%7B%22lat%22%3A%2049.672052034141%2C%20%22lng%22%3A%2018.6727801497892%2C%20%22zoom%22%3A%2020%7D")</f>
        <v>http://www.stromypodkontrolou.cz/map/?draw_selection_circle=1#%7B%22lat%22%3A%2049.672052034141%2C%20%22lng%22%3A%2018.6727801497892%2C%20%22zoom%22%3A%2020%7D</v>
      </c>
    </row>
    <row r="147" spans="1:25" ht="12.75">
      <c r="A147" s="36" t="s">
        <v>81</v>
      </c>
      <c r="B147" s="36">
        <v>351</v>
      </c>
      <c r="C147" s="36"/>
      <c r="D147" s="36" t="s">
        <v>44</v>
      </c>
      <c r="E147" s="36" t="s">
        <v>242</v>
      </c>
      <c r="F147" s="36">
        <v>36</v>
      </c>
      <c r="G147" s="36">
        <v>29</v>
      </c>
      <c r="H147" s="36">
        <v>19</v>
      </c>
      <c r="I147" s="36"/>
      <c r="J147" s="36">
        <v>113</v>
      </c>
      <c r="K147" s="36">
        <v>91</v>
      </c>
      <c r="L147" s="36">
        <v>60</v>
      </c>
      <c r="M147" s="36"/>
      <c r="N147" s="36">
        <v>14</v>
      </c>
      <c r="O147" s="36">
        <v>1</v>
      </c>
      <c r="P147" s="36">
        <v>8</v>
      </c>
      <c r="Q147" s="36" t="s">
        <v>181</v>
      </c>
      <c r="R147" s="36" t="s">
        <v>309</v>
      </c>
      <c r="S147" s="36" t="s">
        <v>189</v>
      </c>
      <c r="T147" s="36" t="s">
        <v>310</v>
      </c>
      <c r="U147" s="3" t="s">
        <v>169</v>
      </c>
      <c r="V147" s="3" t="s">
        <v>170</v>
      </c>
      <c r="W147" s="3"/>
      <c r="X147" s="3"/>
      <c r="Y147" s="36" t="str">
        <f>HYPERLINK("http://www.stromypodkontrolou.cz/map/?draw_selection_circle=1#%7B%22lat%22%3A%2049.6673601298505%2C%20%22lng%22%3A%2018.6766464750138%2C%20%22zoom%22%3A%2020%7D")</f>
        <v>http://www.stromypodkontrolou.cz/map/?draw_selection_circle=1#%7B%22lat%22%3A%2049.6673601298505%2C%20%22lng%22%3A%2018.6766464750138%2C%20%22zoom%22%3A%2020%7D</v>
      </c>
    </row>
    <row r="148" spans="1:25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" t="s">
        <v>171</v>
      </c>
      <c r="V148" s="3" t="s">
        <v>172</v>
      </c>
      <c r="W148" s="3"/>
      <c r="X148" s="3"/>
      <c r="Y148" s="36"/>
    </row>
    <row r="149" spans="1:25" ht="12.75">
      <c r="A149" s="36" t="s">
        <v>82</v>
      </c>
      <c r="B149" s="36">
        <v>13</v>
      </c>
      <c r="C149" s="36"/>
      <c r="D149" s="36" t="s">
        <v>13</v>
      </c>
      <c r="E149" s="36" t="s">
        <v>175</v>
      </c>
      <c r="F149" s="36">
        <v>45</v>
      </c>
      <c r="G149" s="36"/>
      <c r="H149" s="36"/>
      <c r="I149" s="36"/>
      <c r="J149" s="36">
        <v>141</v>
      </c>
      <c r="K149" s="36"/>
      <c r="L149" s="36"/>
      <c r="M149" s="36"/>
      <c r="N149" s="36">
        <v>21</v>
      </c>
      <c r="O149" s="36">
        <v>1</v>
      </c>
      <c r="P149" s="36">
        <v>8</v>
      </c>
      <c r="Q149" s="36" t="s">
        <v>181</v>
      </c>
      <c r="R149" s="36" t="s">
        <v>186</v>
      </c>
      <c r="S149" s="36" t="s">
        <v>189</v>
      </c>
      <c r="T149" s="36" t="s">
        <v>311</v>
      </c>
      <c r="U149" s="3" t="s">
        <v>218</v>
      </c>
      <c r="V149" s="3" t="s">
        <v>219</v>
      </c>
      <c r="W149" s="3"/>
      <c r="X149" s="3"/>
      <c r="Y149" s="36" t="str">
        <f>HYPERLINK("http://www.stromypodkontrolou.cz/map/?draw_selection_circle=1#%7B%22lat%22%3A%2049.6682805378823%2C%20%22lng%22%3A%2018.677433592492%2C%20%22zoom%22%3A%2020%7D")</f>
        <v>http://www.stromypodkontrolou.cz/map/?draw_selection_circle=1#%7B%22lat%22%3A%2049.6682805378823%2C%20%22lng%22%3A%2018.677433592492%2C%20%22zoom%22%3A%2020%7D</v>
      </c>
    </row>
    <row r="150" spans="1:25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" t="s">
        <v>171</v>
      </c>
      <c r="V150" s="3" t="s">
        <v>172</v>
      </c>
      <c r="W150" s="3"/>
      <c r="X150" s="3"/>
      <c r="Y150" s="36"/>
    </row>
    <row r="151" spans="1:25" ht="12.75">
      <c r="A151" s="3" t="s">
        <v>33</v>
      </c>
      <c r="B151" s="3">
        <v>25</v>
      </c>
      <c r="C151" s="3"/>
      <c r="D151" s="3" t="s">
        <v>67</v>
      </c>
      <c r="E151" s="3" t="s">
        <v>284</v>
      </c>
      <c r="F151" s="3">
        <v>8</v>
      </c>
      <c r="G151" s="3"/>
      <c r="H151" s="3"/>
      <c r="I151" s="3"/>
      <c r="J151" s="3">
        <v>25</v>
      </c>
      <c r="K151" s="3"/>
      <c r="L151" s="3"/>
      <c r="M151" s="3"/>
      <c r="N151" s="3">
        <v>6</v>
      </c>
      <c r="O151" s="3">
        <v>0</v>
      </c>
      <c r="P151" s="3">
        <v>1</v>
      </c>
      <c r="Q151" s="3" t="s">
        <v>166</v>
      </c>
      <c r="R151" s="3" t="s">
        <v>296</v>
      </c>
      <c r="S151" s="3" t="s">
        <v>189</v>
      </c>
      <c r="T151" s="3" t="s">
        <v>279</v>
      </c>
      <c r="U151" s="3" t="s">
        <v>169</v>
      </c>
      <c r="V151" s="3" t="s">
        <v>170</v>
      </c>
      <c r="W151" s="3"/>
      <c r="X151" s="3"/>
      <c r="Y151" s="3" t="str">
        <f>HYPERLINK("http://www.stromypodkontrolou.cz/map/?draw_selection_circle=1#%7B%22lat%22%3A%2049.6613244948632%2C%20%22lng%22%3A%2018.6762589978198%2C%20%22zoom%22%3A%2020%7D")</f>
        <v>http://www.stromypodkontrolou.cz/map/?draw_selection_circle=1#%7B%22lat%22%3A%2049.6613244948632%2C%20%22lng%22%3A%2018.6762589978198%2C%20%22zoom%22%3A%2020%7D</v>
      </c>
    </row>
    <row r="152" spans="1:25" ht="12.75">
      <c r="A152" s="3" t="s">
        <v>25</v>
      </c>
      <c r="B152" s="3">
        <v>181</v>
      </c>
      <c r="C152" s="3"/>
      <c r="D152" s="3" t="s">
        <v>14</v>
      </c>
      <c r="E152" s="3" t="s">
        <v>180</v>
      </c>
      <c r="F152" s="3">
        <v>6</v>
      </c>
      <c r="G152" s="3"/>
      <c r="H152" s="3"/>
      <c r="I152" s="3"/>
      <c r="J152" s="3">
        <v>19</v>
      </c>
      <c r="K152" s="3"/>
      <c r="L152" s="3"/>
      <c r="M152" s="3"/>
      <c r="N152" s="3">
        <v>7</v>
      </c>
      <c r="O152" s="3">
        <v>2</v>
      </c>
      <c r="P152" s="3">
        <v>1</v>
      </c>
      <c r="Q152" s="3" t="s">
        <v>166</v>
      </c>
      <c r="R152" s="3" t="s">
        <v>296</v>
      </c>
      <c r="S152" s="3" t="s">
        <v>189</v>
      </c>
      <c r="T152" s="3" t="s">
        <v>312</v>
      </c>
      <c r="U152" s="3" t="s">
        <v>169</v>
      </c>
      <c r="V152" s="3" t="s">
        <v>170</v>
      </c>
      <c r="W152" s="3"/>
      <c r="X152" s="3"/>
      <c r="Y152" s="3" t="str">
        <f>HYPERLINK("http://www.stromypodkontrolou.cz/map/?draw_selection_circle=1#%7B%22lat%22%3A%2049.6628873175196%2C%20%22lng%22%3A%2018.671821249377%2C%20%22zoom%22%3A%2020%7D")</f>
        <v>http://www.stromypodkontrolou.cz/map/?draw_selection_circle=1#%7B%22lat%22%3A%2049.6628873175196%2C%20%22lng%22%3A%2018.671821249377%2C%20%22zoom%22%3A%2020%7D</v>
      </c>
    </row>
    <row r="153" spans="1:25" ht="12.75">
      <c r="A153" s="3" t="s">
        <v>56</v>
      </c>
      <c r="B153" s="3">
        <v>238</v>
      </c>
      <c r="C153" s="3"/>
      <c r="D153" s="3" t="s">
        <v>83</v>
      </c>
      <c r="E153" s="3" t="s">
        <v>313</v>
      </c>
      <c r="F153" s="3">
        <v>5</v>
      </c>
      <c r="G153" s="3"/>
      <c r="H153" s="3"/>
      <c r="I153" s="3"/>
      <c r="J153" s="3">
        <v>16</v>
      </c>
      <c r="K153" s="3"/>
      <c r="L153" s="3"/>
      <c r="M153" s="3"/>
      <c r="N153" s="3">
        <v>4</v>
      </c>
      <c r="O153" s="3">
        <v>2</v>
      </c>
      <c r="P153" s="3">
        <v>2</v>
      </c>
      <c r="Q153" s="3" t="s">
        <v>166</v>
      </c>
      <c r="R153" s="3" t="s">
        <v>296</v>
      </c>
      <c r="S153" s="3" t="s">
        <v>189</v>
      </c>
      <c r="T153" s="3" t="s">
        <v>314</v>
      </c>
      <c r="U153" s="3" t="s">
        <v>169</v>
      </c>
      <c r="V153" s="3" t="s">
        <v>170</v>
      </c>
      <c r="W153" s="3"/>
      <c r="X153" s="3"/>
      <c r="Y153" s="3" t="str">
        <f>HYPERLINK("http://www.stromypodkontrolou.cz/map/?draw_selection_circle=1#%7B%22lat%22%3A%2049.6727326543704%2C%20%22lng%22%3A%2018.670406486463%2C%20%22zoom%22%3A%2020%7D")</f>
        <v>http://www.stromypodkontrolou.cz/map/?draw_selection_circle=1#%7B%22lat%22%3A%2049.6727326543704%2C%20%22lng%22%3A%2018.670406486463%2C%20%22zoom%22%3A%2020%7D</v>
      </c>
    </row>
    <row r="154" spans="1:25" ht="12.75">
      <c r="A154" s="3" t="s">
        <v>84</v>
      </c>
      <c r="B154" s="3">
        <v>168</v>
      </c>
      <c r="C154" s="3"/>
      <c r="D154" s="3" t="s">
        <v>31</v>
      </c>
      <c r="E154" s="3" t="s">
        <v>213</v>
      </c>
      <c r="F154" s="3">
        <v>8</v>
      </c>
      <c r="G154" s="3"/>
      <c r="H154" s="3"/>
      <c r="I154" s="3"/>
      <c r="J154" s="3">
        <v>25</v>
      </c>
      <c r="K154" s="3"/>
      <c r="L154" s="3"/>
      <c r="M154" s="3"/>
      <c r="N154" s="3">
        <v>5</v>
      </c>
      <c r="O154" s="3">
        <v>1</v>
      </c>
      <c r="P154" s="3">
        <v>3</v>
      </c>
      <c r="Q154" s="3" t="s">
        <v>166</v>
      </c>
      <c r="R154" s="3" t="s">
        <v>315</v>
      </c>
      <c r="S154" s="3" t="s">
        <v>7</v>
      </c>
      <c r="T154" s="3" t="s">
        <v>303</v>
      </c>
      <c r="U154" s="3" t="s">
        <v>169</v>
      </c>
      <c r="V154" s="3" t="s">
        <v>170</v>
      </c>
      <c r="W154" s="3"/>
      <c r="X154" s="3"/>
      <c r="Y154" s="3" t="str">
        <f>HYPERLINK("http://www.stromypodkontrolou.cz/map/?draw_selection_circle=1#%7B%22lat%22%3A%2049.6721013030054%2C%20%22lng%22%3A%2018.6721210799937%2C%20%22zoom%22%3A%2020%7D")</f>
        <v>http://www.stromypodkontrolou.cz/map/?draw_selection_circle=1#%7B%22lat%22%3A%2049.6721013030054%2C%20%22lng%22%3A%2018.6721210799937%2C%20%22zoom%22%3A%2020%7D</v>
      </c>
    </row>
    <row r="155" spans="1:25" ht="12.75">
      <c r="A155" s="36" t="s">
        <v>16</v>
      </c>
      <c r="B155" s="36">
        <v>123</v>
      </c>
      <c r="C155" s="36"/>
      <c r="D155" s="36" t="s">
        <v>17</v>
      </c>
      <c r="E155" s="36" t="s">
        <v>185</v>
      </c>
      <c r="F155" s="36">
        <v>19</v>
      </c>
      <c r="G155" s="36"/>
      <c r="H155" s="36"/>
      <c r="I155" s="36"/>
      <c r="J155" s="36">
        <v>60</v>
      </c>
      <c r="K155" s="36"/>
      <c r="L155" s="36"/>
      <c r="M155" s="36"/>
      <c r="N155" s="36">
        <v>3</v>
      </c>
      <c r="O155" s="36">
        <v>1</v>
      </c>
      <c r="P155" s="36">
        <v>8</v>
      </c>
      <c r="Q155" s="36" t="s">
        <v>166</v>
      </c>
      <c r="R155" s="36" t="s">
        <v>186</v>
      </c>
      <c r="S155" s="36" t="s">
        <v>7</v>
      </c>
      <c r="T155" s="36" t="s">
        <v>316</v>
      </c>
      <c r="U155" s="3" t="s">
        <v>169</v>
      </c>
      <c r="V155" s="3" t="s">
        <v>170</v>
      </c>
      <c r="W155" s="3"/>
      <c r="X155" s="3"/>
      <c r="Y155" s="36" t="str">
        <f>HYPERLINK("http://www.stromypodkontrolou.cz/map/?draw_selection_circle=1#%7B%22lat%22%3A%2049.6712822841799%2C%20%22lng%22%3A%2018.6694974409746%2C%20%22zoom%22%3A%2020%7D")</f>
        <v>http://www.stromypodkontrolou.cz/map/?draw_selection_circle=1#%7B%22lat%22%3A%2049.6712822841799%2C%20%22lng%22%3A%2018.6694974409746%2C%20%22zoom%22%3A%2020%7D</v>
      </c>
    </row>
    <row r="156" spans="1:25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" t="s">
        <v>171</v>
      </c>
      <c r="V156" s="3" t="s">
        <v>172</v>
      </c>
      <c r="W156" s="3"/>
      <c r="X156" s="3"/>
      <c r="Y156" s="36"/>
    </row>
    <row r="157" spans="1:25" ht="12.75">
      <c r="A157" s="3" t="s">
        <v>85</v>
      </c>
      <c r="B157" s="3">
        <v>10</v>
      </c>
      <c r="C157" s="3"/>
      <c r="D157" s="3" t="s">
        <v>14</v>
      </c>
      <c r="E157" s="3" t="s">
        <v>180</v>
      </c>
      <c r="F157" s="3">
        <v>13</v>
      </c>
      <c r="G157" s="3">
        <v>13</v>
      </c>
      <c r="H157" s="3">
        <v>10</v>
      </c>
      <c r="I157" s="3">
        <v>6</v>
      </c>
      <c r="J157" s="3">
        <v>41</v>
      </c>
      <c r="K157" s="3">
        <v>41</v>
      </c>
      <c r="L157" s="3">
        <v>31</v>
      </c>
      <c r="M157" s="3">
        <v>19</v>
      </c>
      <c r="N157" s="3">
        <v>9</v>
      </c>
      <c r="O157" s="3">
        <v>2</v>
      </c>
      <c r="P157" s="3">
        <v>7</v>
      </c>
      <c r="Q157" s="3" t="s">
        <v>181</v>
      </c>
      <c r="R157" s="3" t="s">
        <v>239</v>
      </c>
      <c r="S157" s="3" t="s">
        <v>7</v>
      </c>
      <c r="T157" s="3" t="s">
        <v>317</v>
      </c>
      <c r="U157" s="3" t="s">
        <v>169</v>
      </c>
      <c r="V157" s="3" t="s">
        <v>170</v>
      </c>
      <c r="W157" s="3"/>
      <c r="X157" s="3"/>
      <c r="Y157" s="3" t="str">
        <f>HYPERLINK("http://www.stromypodkontrolou.cz/map/?draw_selection_circle=1#%7B%22lat%22%3A%2049.6709015522%2C%20%22lng%22%3A%2018.6694122325%2C%20%22zoom%22%3A%2020%7D")</f>
        <v>http://www.stromypodkontrolou.cz/map/?draw_selection_circle=1#%7B%22lat%22%3A%2049.6709015522%2C%20%22lng%22%3A%2018.6694122325%2C%20%22zoom%22%3A%2020%7D</v>
      </c>
    </row>
    <row r="158" spans="1:25" ht="12.75">
      <c r="A158" s="36" t="s">
        <v>63</v>
      </c>
      <c r="B158" s="36">
        <v>264</v>
      </c>
      <c r="C158" s="36"/>
      <c r="D158" s="36" t="s">
        <v>21</v>
      </c>
      <c r="E158" s="36" t="s">
        <v>197</v>
      </c>
      <c r="F158" s="36">
        <v>17</v>
      </c>
      <c r="G158" s="36"/>
      <c r="H158" s="36"/>
      <c r="I158" s="36"/>
      <c r="J158" s="36">
        <v>53</v>
      </c>
      <c r="K158" s="36"/>
      <c r="L158" s="36"/>
      <c r="M158" s="36"/>
      <c r="N158" s="36">
        <v>16</v>
      </c>
      <c r="O158" s="36">
        <v>9</v>
      </c>
      <c r="P158" s="36">
        <v>4</v>
      </c>
      <c r="Q158" s="36" t="s">
        <v>181</v>
      </c>
      <c r="R158" s="36" t="s">
        <v>318</v>
      </c>
      <c r="S158" s="36" t="s">
        <v>189</v>
      </c>
      <c r="T158" s="36" t="s">
        <v>274</v>
      </c>
      <c r="U158" s="3" t="s">
        <v>191</v>
      </c>
      <c r="V158" s="3" t="s">
        <v>192</v>
      </c>
      <c r="W158" s="3"/>
      <c r="X158" s="3"/>
      <c r="Y158" s="36" t="str">
        <f>HYPERLINK("http://www.stromypodkontrolou.cz/map/?draw_selection_circle=1#%7B%22lat%22%3A%2049.6716791454874%2C%20%22lng%22%3A%2018.6794473015922%2C%20%22zoom%22%3A%2020%7D")</f>
        <v>http://www.stromypodkontrolou.cz/map/?draw_selection_circle=1#%7B%22lat%22%3A%2049.6716791454874%2C%20%22lng%22%3A%2018.6794473015922%2C%20%22zoom%22%3A%2020%7D</v>
      </c>
    </row>
    <row r="159" spans="1:25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" t="s">
        <v>171</v>
      </c>
      <c r="V159" s="3" t="s">
        <v>172</v>
      </c>
      <c r="W159" s="3"/>
      <c r="X159" s="3"/>
      <c r="Y159" s="36"/>
    </row>
    <row r="160" spans="1:25" ht="12.75">
      <c r="A160" s="36" t="s">
        <v>63</v>
      </c>
      <c r="B160" s="36">
        <v>113</v>
      </c>
      <c r="C160" s="36"/>
      <c r="D160" s="36" t="s">
        <v>21</v>
      </c>
      <c r="E160" s="36" t="s">
        <v>197</v>
      </c>
      <c r="F160" s="36">
        <v>20</v>
      </c>
      <c r="G160" s="36"/>
      <c r="H160" s="36"/>
      <c r="I160" s="36"/>
      <c r="J160" s="36">
        <v>63</v>
      </c>
      <c r="K160" s="36"/>
      <c r="L160" s="36"/>
      <c r="M160" s="36"/>
      <c r="N160" s="36">
        <v>15</v>
      </c>
      <c r="O160" s="36">
        <v>3</v>
      </c>
      <c r="P160" s="36">
        <v>4</v>
      </c>
      <c r="Q160" s="36" t="s">
        <v>181</v>
      </c>
      <c r="R160" s="36" t="s">
        <v>226</v>
      </c>
      <c r="S160" s="36" t="s">
        <v>189</v>
      </c>
      <c r="T160" s="36" t="s">
        <v>319</v>
      </c>
      <c r="U160" s="3" t="s">
        <v>171</v>
      </c>
      <c r="V160" s="3" t="s">
        <v>172</v>
      </c>
      <c r="W160" s="3"/>
      <c r="X160" s="3"/>
      <c r="Y160" s="36" t="str">
        <f>HYPERLINK("http://www.stromypodkontrolou.cz/map/?draw_selection_circle=1#%7B%22lat%22%3A%2049.6715472439013%2C%20%22lng%22%3A%2018.6795916788958%2C%20%22zoom%22%3A%2020%7D")</f>
        <v>http://www.stromypodkontrolou.cz/map/?draw_selection_circle=1#%7B%22lat%22%3A%2049.6715472439013%2C%20%22lng%22%3A%2018.6795916788958%2C%20%22zoom%22%3A%2020%7D</v>
      </c>
    </row>
    <row r="161" spans="1:25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" t="s">
        <v>169</v>
      </c>
      <c r="V161" s="3" t="s">
        <v>170</v>
      </c>
      <c r="W161" s="3"/>
      <c r="X161" s="3"/>
      <c r="Y161" s="36"/>
    </row>
    <row r="162" spans="1:25" ht="12.75">
      <c r="A162" s="3" t="s">
        <v>78</v>
      </c>
      <c r="B162" s="3">
        <v>19</v>
      </c>
      <c r="C162" s="3" t="s">
        <v>86</v>
      </c>
      <c r="D162" s="3" t="s">
        <v>87</v>
      </c>
      <c r="E162" s="3" t="s">
        <v>320</v>
      </c>
      <c r="F162" s="3">
        <v>19</v>
      </c>
      <c r="G162" s="3"/>
      <c r="H162" s="3"/>
      <c r="I162" s="3"/>
      <c r="J162" s="3">
        <v>60</v>
      </c>
      <c r="K162" s="3"/>
      <c r="L162" s="3"/>
      <c r="M162" s="3"/>
      <c r="N162" s="3">
        <v>9</v>
      </c>
      <c r="O162" s="3">
        <v>2</v>
      </c>
      <c r="P162" s="3">
        <v>5</v>
      </c>
      <c r="Q162" s="3" t="s">
        <v>181</v>
      </c>
      <c r="R162" s="3" t="s">
        <v>321</v>
      </c>
      <c r="S162" s="3" t="s">
        <v>7</v>
      </c>
      <c r="T162" s="3" t="s">
        <v>303</v>
      </c>
      <c r="U162" s="3" t="s">
        <v>169</v>
      </c>
      <c r="V162" s="3" t="s">
        <v>170</v>
      </c>
      <c r="W162" s="3"/>
      <c r="X162" s="3"/>
      <c r="Y162" s="3" t="str">
        <f>HYPERLINK("http://www.stromypodkontrolou.cz/map/?draw_selection_circle=1#%7B%22lat%22%3A%2049.6723090968553%2C%20%22lng%22%3A%2018.6724791065184%2C%20%22zoom%22%3A%2020%7D")</f>
        <v>http://www.stromypodkontrolou.cz/map/?draw_selection_circle=1#%7B%22lat%22%3A%2049.6723090968553%2C%20%22lng%22%3A%2018.6724791065184%2C%20%22zoom%22%3A%2020%7D</v>
      </c>
    </row>
    <row r="163" spans="1:25" ht="12.75">
      <c r="A163" s="3" t="s">
        <v>75</v>
      </c>
      <c r="B163" s="3">
        <v>64</v>
      </c>
      <c r="C163" s="3"/>
      <c r="D163" s="3" t="s">
        <v>11</v>
      </c>
      <c r="E163" s="3" t="s">
        <v>173</v>
      </c>
      <c r="F163" s="3">
        <v>15</v>
      </c>
      <c r="G163" s="3">
        <v>14</v>
      </c>
      <c r="H163" s="3">
        <v>12</v>
      </c>
      <c r="I163" s="3">
        <v>10</v>
      </c>
      <c r="J163" s="3">
        <v>47</v>
      </c>
      <c r="K163" s="3">
        <v>44</v>
      </c>
      <c r="L163" s="3">
        <v>38</v>
      </c>
      <c r="M163" s="3">
        <v>31</v>
      </c>
      <c r="N163" s="3">
        <v>12</v>
      </c>
      <c r="O163" s="3">
        <v>2</v>
      </c>
      <c r="P163" s="3">
        <v>5</v>
      </c>
      <c r="Q163" s="3" t="s">
        <v>181</v>
      </c>
      <c r="R163" s="3" t="s">
        <v>322</v>
      </c>
      <c r="S163" s="3" t="s">
        <v>7</v>
      </c>
      <c r="T163" s="3" t="s">
        <v>303</v>
      </c>
      <c r="U163" s="3" t="s">
        <v>169</v>
      </c>
      <c r="V163" s="3" t="s">
        <v>170</v>
      </c>
      <c r="W163" s="3"/>
      <c r="X163" s="3"/>
      <c r="Y163" s="3" t="str">
        <f>HYPERLINK("http://www.stromypodkontrolou.cz/map/?draw_selection_circle=1#%7B%22lat%22%3A%2049.6723794622623%2C%20%22lng%22%3A%2018.6725276122688%2C%20%22zoom%22%3A%2020%7D")</f>
        <v>http://www.stromypodkontrolou.cz/map/?draw_selection_circle=1#%7B%22lat%22%3A%2049.6723794622623%2C%20%22lng%22%3A%2018.6725276122688%2C%20%22zoom%22%3A%2020%7D</v>
      </c>
    </row>
    <row r="164" spans="1:25" ht="12.75">
      <c r="A164" s="3" t="s">
        <v>78</v>
      </c>
      <c r="B164" s="3">
        <v>7</v>
      </c>
      <c r="C164" s="3" t="s">
        <v>88</v>
      </c>
      <c r="D164" s="3" t="s">
        <v>11</v>
      </c>
      <c r="E164" s="3" t="s">
        <v>173</v>
      </c>
      <c r="F164" s="3">
        <v>30</v>
      </c>
      <c r="G164" s="3"/>
      <c r="H164" s="3"/>
      <c r="I164" s="3"/>
      <c r="J164" s="3">
        <v>94</v>
      </c>
      <c r="K164" s="3"/>
      <c r="L164" s="3"/>
      <c r="M164" s="3"/>
      <c r="N164" s="3">
        <v>20</v>
      </c>
      <c r="O164" s="3">
        <v>4</v>
      </c>
      <c r="P164" s="3">
        <v>6</v>
      </c>
      <c r="Q164" s="3" t="s">
        <v>181</v>
      </c>
      <c r="R164" s="3" t="s">
        <v>296</v>
      </c>
      <c r="S164" s="3" t="s">
        <v>7</v>
      </c>
      <c r="T164" s="3" t="s">
        <v>303</v>
      </c>
      <c r="U164" s="3" t="s">
        <v>169</v>
      </c>
      <c r="V164" s="3" t="s">
        <v>170</v>
      </c>
      <c r="W164" s="3"/>
      <c r="X164" s="3"/>
      <c r="Y164" s="3" t="str">
        <f>HYPERLINK("http://www.stromypodkontrolou.cz/map/?draw_selection_circle=1#%7B%22lat%22%3A%2049.6724341162258%2C%20%22lng%22%3A%2018.6722371278244%2C%20%22zoom%22%3A%2020%7D")</f>
        <v>http://www.stromypodkontrolou.cz/map/?draw_selection_circle=1#%7B%22lat%22%3A%2049.6724341162258%2C%20%22lng%22%3A%2018.6722371278244%2C%20%22zoom%22%3A%2020%7D</v>
      </c>
    </row>
    <row r="165" spans="1:25" ht="12.75">
      <c r="A165" s="3" t="s">
        <v>78</v>
      </c>
      <c r="B165" s="3">
        <v>16</v>
      </c>
      <c r="C165" s="3" t="s">
        <v>89</v>
      </c>
      <c r="D165" s="3" t="s">
        <v>15</v>
      </c>
      <c r="E165" s="3" t="s">
        <v>183</v>
      </c>
      <c r="F165" s="3">
        <v>13</v>
      </c>
      <c r="G165" s="3"/>
      <c r="H165" s="3"/>
      <c r="I165" s="3"/>
      <c r="J165" s="3">
        <v>41</v>
      </c>
      <c r="K165" s="3"/>
      <c r="L165" s="3"/>
      <c r="M165" s="3"/>
      <c r="N165" s="3">
        <v>10</v>
      </c>
      <c r="O165" s="3">
        <v>2</v>
      </c>
      <c r="P165" s="3">
        <v>5</v>
      </c>
      <c r="Q165" s="3" t="s">
        <v>179</v>
      </c>
      <c r="R165" s="3" t="s">
        <v>196</v>
      </c>
      <c r="S165" s="3" t="s">
        <v>7</v>
      </c>
      <c r="T165" s="3" t="s">
        <v>303</v>
      </c>
      <c r="U165" s="3" t="s">
        <v>169</v>
      </c>
      <c r="V165" s="3" t="s">
        <v>170</v>
      </c>
      <c r="W165" s="3"/>
      <c r="X165" s="3"/>
      <c r="Y165" s="3" t="str">
        <f>HYPERLINK("http://www.stromypodkontrolou.cz/map/?draw_selection_circle=1#%7B%22lat%22%3A%2049.6722420774881%2C%20%22lng%22%3A%2018.6723880852102%2C%20%22zoom%22%3A%2020%7D")</f>
        <v>http://www.stromypodkontrolou.cz/map/?draw_selection_circle=1#%7B%22lat%22%3A%2049.6722420774881%2C%20%22lng%22%3A%2018.6723880852102%2C%20%22zoom%22%3A%2020%7D</v>
      </c>
    </row>
    <row r="166" spans="1:25" ht="12.75">
      <c r="A166" s="3" t="s">
        <v>78</v>
      </c>
      <c r="B166" s="3">
        <v>54</v>
      </c>
      <c r="C166" s="3" t="s">
        <v>90</v>
      </c>
      <c r="D166" s="3" t="s">
        <v>91</v>
      </c>
      <c r="E166" s="3" t="s">
        <v>323</v>
      </c>
      <c r="F166" s="3">
        <v>10</v>
      </c>
      <c r="G166" s="3"/>
      <c r="H166" s="3"/>
      <c r="I166" s="3"/>
      <c r="J166" s="3">
        <v>31</v>
      </c>
      <c r="K166" s="3"/>
      <c r="L166" s="3"/>
      <c r="M166" s="3"/>
      <c r="N166" s="3">
        <v>6</v>
      </c>
      <c r="O166" s="3">
        <v>2</v>
      </c>
      <c r="P166" s="3">
        <v>3</v>
      </c>
      <c r="Q166" s="3" t="s">
        <v>166</v>
      </c>
      <c r="R166" s="3" t="s">
        <v>324</v>
      </c>
      <c r="S166" s="3" t="s">
        <v>189</v>
      </c>
      <c r="T166" s="3" t="s">
        <v>307</v>
      </c>
      <c r="U166" s="3" t="s">
        <v>218</v>
      </c>
      <c r="V166" s="3" t="s">
        <v>219</v>
      </c>
      <c r="W166" s="3"/>
      <c r="X166" s="3"/>
      <c r="Y166" s="3" t="str">
        <f>HYPERLINK("http://www.stromypodkontrolou.cz/map/?draw_selection_circle=1#%7B%22lat%22%3A%2049.6716940774809%2C%20%22lng%22%3A%2018.6730790852069%2C%20%22zoom%22%3A%2020%7D")</f>
        <v>http://www.stromypodkontrolou.cz/map/?draw_selection_circle=1#%7B%22lat%22%3A%2049.6716940774809%2C%20%22lng%22%3A%2018.6730790852069%2C%20%22zoom%22%3A%2020%7D</v>
      </c>
    </row>
    <row r="167" spans="1:25" ht="12.75">
      <c r="A167" s="36" t="s">
        <v>84</v>
      </c>
      <c r="B167" s="36">
        <v>151</v>
      </c>
      <c r="C167" s="36"/>
      <c r="D167" s="36" t="s">
        <v>70</v>
      </c>
      <c r="E167" s="36" t="s">
        <v>285</v>
      </c>
      <c r="F167" s="36">
        <v>18</v>
      </c>
      <c r="G167" s="36"/>
      <c r="H167" s="36"/>
      <c r="I167" s="36"/>
      <c r="J167" s="36">
        <v>57</v>
      </c>
      <c r="K167" s="36"/>
      <c r="L167" s="36"/>
      <c r="M167" s="36"/>
      <c r="N167" s="36">
        <v>13</v>
      </c>
      <c r="O167" s="36">
        <v>3</v>
      </c>
      <c r="P167" s="36">
        <v>4</v>
      </c>
      <c r="Q167" s="36" t="s">
        <v>166</v>
      </c>
      <c r="R167" s="36" t="s">
        <v>325</v>
      </c>
      <c r="S167" s="36" t="s">
        <v>189</v>
      </c>
      <c r="T167" s="36" t="s">
        <v>307</v>
      </c>
      <c r="U167" s="3" t="s">
        <v>169</v>
      </c>
      <c r="V167" s="3" t="s">
        <v>170</v>
      </c>
      <c r="W167" s="3"/>
      <c r="X167" s="3"/>
      <c r="Y167" s="36" t="str">
        <f>HYPERLINK("http://www.stromypodkontrolou.cz/map/?draw_selection_circle=1#%7B%22lat%22%3A%2049.6719513176%2C%20%22lng%22%3A%2018.6720676454%2C%20%22zoom%22%3A%2020%7D")</f>
        <v>http://www.stromypodkontrolou.cz/map/?draw_selection_circle=1#%7B%22lat%22%3A%2049.6719513176%2C%20%22lng%22%3A%2018.6720676454%2C%20%22zoom%22%3A%2020%7D</v>
      </c>
    </row>
    <row r="168" spans="1:25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" t="s">
        <v>171</v>
      </c>
      <c r="V168" s="3" t="s">
        <v>172</v>
      </c>
      <c r="W168" s="3"/>
      <c r="X168" s="3"/>
      <c r="Y168" s="36"/>
    </row>
    <row r="169" spans="1:25" ht="12.75">
      <c r="A169" s="36" t="s">
        <v>84</v>
      </c>
      <c r="B169" s="36">
        <v>157</v>
      </c>
      <c r="C169" s="36"/>
      <c r="D169" s="36" t="s">
        <v>27</v>
      </c>
      <c r="E169" s="36" t="s">
        <v>204</v>
      </c>
      <c r="F169" s="36">
        <v>19</v>
      </c>
      <c r="G169" s="36"/>
      <c r="H169" s="36"/>
      <c r="I169" s="36"/>
      <c r="J169" s="36">
        <v>60</v>
      </c>
      <c r="K169" s="36"/>
      <c r="L169" s="36"/>
      <c r="M169" s="36"/>
      <c r="N169" s="36">
        <v>8</v>
      </c>
      <c r="O169" s="36">
        <v>1</v>
      </c>
      <c r="P169" s="36">
        <v>4</v>
      </c>
      <c r="Q169" s="36" t="s">
        <v>181</v>
      </c>
      <c r="R169" s="36" t="s">
        <v>326</v>
      </c>
      <c r="S169" s="36" t="s">
        <v>189</v>
      </c>
      <c r="T169" s="36" t="s">
        <v>307</v>
      </c>
      <c r="U169" s="3" t="s">
        <v>169</v>
      </c>
      <c r="V169" s="3" t="s">
        <v>170</v>
      </c>
      <c r="W169" s="3"/>
      <c r="X169" s="3"/>
      <c r="Y169" s="36" t="str">
        <f>HYPERLINK("http://www.stromypodkontrolou.cz/map/?draw_selection_circle=1#%7B%22lat%22%3A%2049.6717623564952%2C%20%22lng%22%3A%2018.6723902757619%2C%20%22zoom%22%3A%2020%7D")</f>
        <v>http://www.stromypodkontrolou.cz/map/?draw_selection_circle=1#%7B%22lat%22%3A%2049.6717623564952%2C%20%22lng%22%3A%2018.6723902757619%2C%20%22zoom%22%3A%2020%7D</v>
      </c>
    </row>
    <row r="170" spans="1:25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" t="s">
        <v>171</v>
      </c>
      <c r="V170" s="3" t="s">
        <v>172</v>
      </c>
      <c r="W170" s="3"/>
      <c r="X170" s="3"/>
      <c r="Y170" s="36"/>
    </row>
    <row r="171" spans="1:25" ht="12.75">
      <c r="A171" s="36" t="s">
        <v>81</v>
      </c>
      <c r="B171" s="36">
        <v>478</v>
      </c>
      <c r="C171" s="36"/>
      <c r="D171" s="36" t="s">
        <v>30</v>
      </c>
      <c r="E171" s="36" t="s">
        <v>211</v>
      </c>
      <c r="F171" s="36">
        <v>21</v>
      </c>
      <c r="G171" s="36"/>
      <c r="H171" s="36"/>
      <c r="I171" s="36"/>
      <c r="J171" s="36">
        <v>66</v>
      </c>
      <c r="K171" s="36"/>
      <c r="L171" s="36"/>
      <c r="M171" s="36"/>
      <c r="N171" s="36">
        <v>12</v>
      </c>
      <c r="O171" s="36">
        <v>1</v>
      </c>
      <c r="P171" s="36">
        <v>3</v>
      </c>
      <c r="Q171" s="36" t="s">
        <v>179</v>
      </c>
      <c r="R171" s="36" t="s">
        <v>196</v>
      </c>
      <c r="S171" s="36" t="s">
        <v>189</v>
      </c>
      <c r="T171" s="36" t="s">
        <v>327</v>
      </c>
      <c r="U171" s="3" t="s">
        <v>169</v>
      </c>
      <c r="V171" s="3" t="s">
        <v>170</v>
      </c>
      <c r="W171" s="3"/>
      <c r="X171" s="3"/>
      <c r="Y171" s="36" t="str">
        <f>HYPERLINK("http://www.stromypodkontrolou.cz/map/?draw_selection_circle=1#%7B%22lat%22%3A%2049.6701451472%2C%20%22lng%22%3A%2018.6740271647%2C%20%22zoom%22%3A%2020%7D")</f>
        <v>http://www.stromypodkontrolou.cz/map/?draw_selection_circle=1#%7B%22lat%22%3A%2049.6701451472%2C%20%22lng%22%3A%2018.6740271647%2C%20%22zoom%22%3A%2020%7D</v>
      </c>
    </row>
    <row r="172" spans="1:25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" t="s">
        <v>171</v>
      </c>
      <c r="V172" s="3" t="s">
        <v>172</v>
      </c>
      <c r="W172" s="3"/>
      <c r="X172" s="3"/>
      <c r="Y172" s="36"/>
    </row>
    <row r="173" spans="1:25" ht="12.75">
      <c r="A173" s="36" t="s">
        <v>81</v>
      </c>
      <c r="B173" s="36">
        <v>480</v>
      </c>
      <c r="C173" s="36"/>
      <c r="D173" s="36" t="s">
        <v>30</v>
      </c>
      <c r="E173" s="36" t="s">
        <v>211</v>
      </c>
      <c r="F173" s="36">
        <v>19</v>
      </c>
      <c r="G173" s="36"/>
      <c r="H173" s="36"/>
      <c r="I173" s="36"/>
      <c r="J173" s="36">
        <v>60</v>
      </c>
      <c r="K173" s="36"/>
      <c r="L173" s="36"/>
      <c r="M173" s="36"/>
      <c r="N173" s="36">
        <v>7</v>
      </c>
      <c r="O173" s="36">
        <v>1</v>
      </c>
      <c r="P173" s="36">
        <v>4</v>
      </c>
      <c r="Q173" s="36" t="s">
        <v>181</v>
      </c>
      <c r="R173" s="36" t="s">
        <v>328</v>
      </c>
      <c r="S173" s="36" t="s">
        <v>189</v>
      </c>
      <c r="T173" s="36" t="s">
        <v>327</v>
      </c>
      <c r="U173" s="3" t="s">
        <v>169</v>
      </c>
      <c r="V173" s="3" t="s">
        <v>170</v>
      </c>
      <c r="W173" s="3"/>
      <c r="X173" s="3"/>
      <c r="Y173" s="36" t="str">
        <f>HYPERLINK("http://www.stromypodkontrolou.cz/map/?draw_selection_circle=1#%7B%22lat%22%3A%2049.6701226003876%2C%20%22lng%22%3A%2018.6739839789403%2C%20%22zoom%22%3A%2020%7D")</f>
        <v>http://www.stromypodkontrolou.cz/map/?draw_selection_circle=1#%7B%22lat%22%3A%2049.6701226003876%2C%20%22lng%22%3A%2018.6739839789403%2C%20%22zoom%22%3A%2020%7D</v>
      </c>
    </row>
    <row r="174" spans="1:25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" t="s">
        <v>171</v>
      </c>
      <c r="V174" s="3" t="s">
        <v>172</v>
      </c>
      <c r="W174" s="3"/>
      <c r="X174" s="3"/>
      <c r="Y174" s="36"/>
    </row>
    <row r="175" spans="1:25" ht="12.75">
      <c r="A175" s="36" t="s">
        <v>84</v>
      </c>
      <c r="B175" s="36">
        <v>4</v>
      </c>
      <c r="C175" s="36"/>
      <c r="D175" s="36" t="s">
        <v>92</v>
      </c>
      <c r="E175" s="36" t="s">
        <v>329</v>
      </c>
      <c r="F175" s="36">
        <v>3</v>
      </c>
      <c r="G175" s="36"/>
      <c r="H175" s="36"/>
      <c r="I175" s="36"/>
      <c r="J175" s="36">
        <v>9</v>
      </c>
      <c r="K175" s="36"/>
      <c r="L175" s="36"/>
      <c r="M175" s="36"/>
      <c r="N175" s="36">
        <v>5</v>
      </c>
      <c r="O175" s="36">
        <v>2</v>
      </c>
      <c r="P175" s="36">
        <v>1</v>
      </c>
      <c r="Q175" s="36" t="s">
        <v>179</v>
      </c>
      <c r="R175" s="36"/>
      <c r="S175" s="36" t="s">
        <v>189</v>
      </c>
      <c r="T175" s="36" t="s">
        <v>307</v>
      </c>
      <c r="U175" s="3" t="s">
        <v>169</v>
      </c>
      <c r="V175" s="3" t="s">
        <v>170</v>
      </c>
      <c r="W175" s="3"/>
      <c r="X175" s="3"/>
      <c r="Y175" s="36" t="str">
        <f>HYPERLINK("http://www.stromypodkontrolou.cz/map/?draw_selection_circle=1#%7B%22lat%22%3A%2049.6704348946%2C%20%22lng%22%3A%2018.6755684619%2C%20%22zoom%22%3A%2020%7D")</f>
        <v>http://www.stromypodkontrolou.cz/map/?draw_selection_circle=1#%7B%22lat%22%3A%2049.6704348946%2C%20%22lng%22%3A%2018.6755684619%2C%20%22zoom%22%3A%2020%7D</v>
      </c>
    </row>
    <row r="176" spans="1:25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" t="s">
        <v>171</v>
      </c>
      <c r="V176" s="3" t="s">
        <v>172</v>
      </c>
      <c r="W176" s="3"/>
      <c r="X176" s="3"/>
      <c r="Y176" s="36"/>
    </row>
    <row r="177" spans="1:25" ht="12.75">
      <c r="A177" s="36" t="s">
        <v>81</v>
      </c>
      <c r="B177" s="36">
        <v>446</v>
      </c>
      <c r="C177" s="36"/>
      <c r="D177" s="36" t="s">
        <v>93</v>
      </c>
      <c r="E177" s="36" t="s">
        <v>330</v>
      </c>
      <c r="F177" s="36">
        <v>2</v>
      </c>
      <c r="G177" s="36"/>
      <c r="H177" s="36"/>
      <c r="I177" s="36"/>
      <c r="J177" s="36">
        <v>6</v>
      </c>
      <c r="K177" s="36"/>
      <c r="L177" s="36"/>
      <c r="M177" s="36"/>
      <c r="N177" s="36">
        <v>2</v>
      </c>
      <c r="O177" s="36">
        <v>0</v>
      </c>
      <c r="P177" s="36">
        <v>2</v>
      </c>
      <c r="Q177" s="36" t="s">
        <v>179</v>
      </c>
      <c r="R177" s="36"/>
      <c r="S177" s="36" t="s">
        <v>189</v>
      </c>
      <c r="T177" s="36" t="s">
        <v>331</v>
      </c>
      <c r="U177" s="3" t="s">
        <v>169</v>
      </c>
      <c r="V177" s="3" t="s">
        <v>170</v>
      </c>
      <c r="W177" s="3"/>
      <c r="X177" s="3"/>
      <c r="Y177" s="36" t="str">
        <f>HYPERLINK("http://www.stromypodkontrolou.cz/map/?draw_selection_circle=1#%7B%22lat%22%3A%2049.6696113127%2C%20%22lng%22%3A%2018.673001232%2C%20%22zoom%22%3A%2020%7D")</f>
        <v>http://www.stromypodkontrolou.cz/map/?draw_selection_circle=1#%7B%22lat%22%3A%2049.6696113127%2C%20%22lng%22%3A%2018.673001232%2C%20%22zoom%22%3A%2020%7D</v>
      </c>
    </row>
    <row r="178" spans="1:25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" t="s">
        <v>171</v>
      </c>
      <c r="V178" s="3" t="s">
        <v>172</v>
      </c>
      <c r="W178" s="3"/>
      <c r="X178" s="3"/>
      <c r="Y178" s="36"/>
    </row>
    <row r="179" spans="1:25" ht="12.75">
      <c r="A179" s="36" t="s">
        <v>81</v>
      </c>
      <c r="B179" s="36">
        <v>539</v>
      </c>
      <c r="C179" s="36"/>
      <c r="D179" s="36" t="s">
        <v>94</v>
      </c>
      <c r="E179" s="36" t="s">
        <v>332</v>
      </c>
      <c r="F179" s="36">
        <v>13</v>
      </c>
      <c r="G179" s="36">
        <v>12</v>
      </c>
      <c r="H179" s="36">
        <v>12</v>
      </c>
      <c r="I179" s="36"/>
      <c r="J179" s="36">
        <v>41</v>
      </c>
      <c r="K179" s="36">
        <v>38</v>
      </c>
      <c r="L179" s="36">
        <v>38</v>
      </c>
      <c r="M179" s="36"/>
      <c r="N179" s="36">
        <v>9</v>
      </c>
      <c r="O179" s="36">
        <v>1</v>
      </c>
      <c r="P179" s="36">
        <v>5</v>
      </c>
      <c r="Q179" s="36" t="s">
        <v>166</v>
      </c>
      <c r="R179" s="36" t="s">
        <v>283</v>
      </c>
      <c r="S179" s="36" t="s">
        <v>189</v>
      </c>
      <c r="T179" s="36"/>
      <c r="U179" s="3" t="s">
        <v>191</v>
      </c>
      <c r="V179" s="3" t="s">
        <v>192</v>
      </c>
      <c r="W179" s="3"/>
      <c r="X179" s="3"/>
      <c r="Y179" s="36" t="str">
        <f>HYPERLINK("http://www.stromypodkontrolou.cz/map/?draw_selection_circle=1#%7B%22lat%22%3A%2049.669439304303%2C%20%22lng%22%3A%2018.6740876947255%2C%20%22zoom%22%3A%2020%7D")</f>
        <v>http://www.stromypodkontrolou.cz/map/?draw_selection_circle=1#%7B%22lat%22%3A%2049.669439304303%2C%20%22lng%22%3A%2018.6740876947255%2C%20%22zoom%22%3A%2020%7D</v>
      </c>
    </row>
    <row r="180" spans="1:25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" t="s">
        <v>171</v>
      </c>
      <c r="V180" s="3" t="s">
        <v>172</v>
      </c>
      <c r="W180" s="3"/>
      <c r="X180" s="3"/>
      <c r="Y180" s="36"/>
    </row>
    <row r="181" spans="1:25" ht="12.75">
      <c r="A181" s="36" t="s">
        <v>81</v>
      </c>
      <c r="B181" s="36">
        <v>28</v>
      </c>
      <c r="C181" s="36"/>
      <c r="D181" s="36" t="s">
        <v>21</v>
      </c>
      <c r="E181" s="36" t="s">
        <v>197</v>
      </c>
      <c r="F181" s="36">
        <v>18</v>
      </c>
      <c r="G181" s="36"/>
      <c r="H181" s="36"/>
      <c r="I181" s="36"/>
      <c r="J181" s="36">
        <v>57</v>
      </c>
      <c r="K181" s="36"/>
      <c r="L181" s="36"/>
      <c r="M181" s="36"/>
      <c r="N181" s="36">
        <v>18</v>
      </c>
      <c r="O181" s="36">
        <v>3</v>
      </c>
      <c r="P181" s="36">
        <v>4</v>
      </c>
      <c r="Q181" s="36" t="s">
        <v>166</v>
      </c>
      <c r="R181" s="36" t="s">
        <v>333</v>
      </c>
      <c r="S181" s="36" t="s">
        <v>189</v>
      </c>
      <c r="T181" s="36" t="s">
        <v>334</v>
      </c>
      <c r="U181" s="3" t="s">
        <v>171</v>
      </c>
      <c r="V181" s="3" t="s">
        <v>172</v>
      </c>
      <c r="W181" s="3"/>
      <c r="X181" s="3"/>
      <c r="Y181" s="36" t="str">
        <f>HYPERLINK("http://www.stromypodkontrolou.cz/map/?draw_selection_circle=1#%7B%22lat%22%3A%2049.6679596107912%2C%20%22lng%22%3A%2018.6735566061679%2C%20%22zoom%22%3A%2020%7D")</f>
        <v>http://www.stromypodkontrolou.cz/map/?draw_selection_circle=1#%7B%22lat%22%3A%2049.6679596107912%2C%20%22lng%22%3A%2018.6735566061679%2C%20%22zoom%22%3A%2020%7D</v>
      </c>
    </row>
    <row r="182" spans="1:25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" t="s">
        <v>218</v>
      </c>
      <c r="V182" s="3" t="s">
        <v>219</v>
      </c>
      <c r="W182" s="3"/>
      <c r="X182" s="3"/>
      <c r="Y182" s="36"/>
    </row>
    <row r="183" spans="1:25" ht="12.75">
      <c r="A183" s="3" t="s">
        <v>68</v>
      </c>
      <c r="B183" s="3">
        <v>109</v>
      </c>
      <c r="C183" s="3" t="s">
        <v>95</v>
      </c>
      <c r="D183" s="3" t="s">
        <v>23</v>
      </c>
      <c r="E183" s="3" t="s">
        <v>198</v>
      </c>
      <c r="F183" s="3">
        <v>43</v>
      </c>
      <c r="G183" s="3"/>
      <c r="H183" s="3"/>
      <c r="I183" s="3"/>
      <c r="J183" s="3">
        <v>135</v>
      </c>
      <c r="K183" s="3"/>
      <c r="L183" s="3"/>
      <c r="M183" s="3"/>
      <c r="N183" s="3">
        <v>25</v>
      </c>
      <c r="O183" s="3">
        <v>15</v>
      </c>
      <c r="P183" s="3">
        <v>7</v>
      </c>
      <c r="Q183" s="3" t="s">
        <v>301</v>
      </c>
      <c r="R183" s="3" t="s">
        <v>335</v>
      </c>
      <c r="S183" s="3" t="s">
        <v>189</v>
      </c>
      <c r="T183" s="3"/>
      <c r="U183" s="3" t="s">
        <v>218</v>
      </c>
      <c r="V183" s="3" t="s">
        <v>219</v>
      </c>
      <c r="W183" s="3"/>
      <c r="X183" s="3"/>
      <c r="Y183" s="3" t="str">
        <f>HYPERLINK("http://www.stromypodkontrolou.cz/map/?draw_selection_circle=1#%7B%22lat%22%3A%2049.6675098144808%2C%20%22lng%22%3A%2018.6797733286492%2C%20%22zoom%22%3A%2020%7D")</f>
        <v>http://www.stromypodkontrolou.cz/map/?draw_selection_circle=1#%7B%22lat%22%3A%2049.6675098144808%2C%20%22lng%22%3A%2018.6797733286492%2C%20%22zoom%22%3A%2020%7D</v>
      </c>
    </row>
    <row r="184" spans="1:25" ht="12.75">
      <c r="A184" s="3" t="s">
        <v>68</v>
      </c>
      <c r="B184" s="3">
        <v>108</v>
      </c>
      <c r="C184" s="3" t="s">
        <v>96</v>
      </c>
      <c r="D184" s="3" t="s">
        <v>23</v>
      </c>
      <c r="E184" s="3" t="s">
        <v>198</v>
      </c>
      <c r="F184" s="3">
        <v>49</v>
      </c>
      <c r="G184" s="3"/>
      <c r="H184" s="3"/>
      <c r="I184" s="3"/>
      <c r="J184" s="3">
        <v>154</v>
      </c>
      <c r="K184" s="3"/>
      <c r="L184" s="3"/>
      <c r="M184" s="3"/>
      <c r="N184" s="3">
        <v>27</v>
      </c>
      <c r="O184" s="3">
        <v>14</v>
      </c>
      <c r="P184" s="3">
        <v>6</v>
      </c>
      <c r="Q184" s="3" t="s">
        <v>301</v>
      </c>
      <c r="R184" s="3" t="s">
        <v>336</v>
      </c>
      <c r="S184" s="3" t="s">
        <v>189</v>
      </c>
      <c r="T184" s="3"/>
      <c r="U184" s="3" t="s">
        <v>218</v>
      </c>
      <c r="V184" s="3" t="s">
        <v>219</v>
      </c>
      <c r="W184" s="3"/>
      <c r="X184" s="3"/>
      <c r="Y184" s="3" t="str">
        <f>HYPERLINK("http://www.stromypodkontrolou.cz/map/?draw_selection_circle=1#%7B%22lat%22%3A%2049.6675362882538%2C%20%22lng%22%3A%2018.6797941157682%2C%20%22zoom%22%3A%2020%7D")</f>
        <v>http://www.stromypodkontrolou.cz/map/?draw_selection_circle=1#%7B%22lat%22%3A%2049.6675362882538%2C%20%22lng%22%3A%2018.6797941157682%2C%20%22zoom%22%3A%2020%7D</v>
      </c>
    </row>
    <row r="185" spans="1:25" ht="12.75">
      <c r="A185" s="3" t="s">
        <v>68</v>
      </c>
      <c r="B185" s="3">
        <v>98</v>
      </c>
      <c r="C185" s="3" t="s">
        <v>97</v>
      </c>
      <c r="D185" s="3" t="s">
        <v>23</v>
      </c>
      <c r="E185" s="3" t="s">
        <v>198</v>
      </c>
      <c r="F185" s="3">
        <v>32</v>
      </c>
      <c r="G185" s="3"/>
      <c r="H185" s="3"/>
      <c r="I185" s="3"/>
      <c r="J185" s="3">
        <v>101</v>
      </c>
      <c r="K185" s="3"/>
      <c r="L185" s="3"/>
      <c r="M185" s="3"/>
      <c r="N185" s="3">
        <v>24</v>
      </c>
      <c r="O185" s="3">
        <v>16</v>
      </c>
      <c r="P185" s="3">
        <v>6</v>
      </c>
      <c r="Q185" s="3" t="s">
        <v>301</v>
      </c>
      <c r="R185" s="3" t="s">
        <v>337</v>
      </c>
      <c r="S185" s="3" t="s">
        <v>189</v>
      </c>
      <c r="T185" s="3"/>
      <c r="U185" s="3" t="s">
        <v>218</v>
      </c>
      <c r="V185" s="3" t="s">
        <v>219</v>
      </c>
      <c r="W185" s="3"/>
      <c r="X185" s="3"/>
      <c r="Y185" s="3" t="str">
        <f>HYPERLINK("http://www.stromypodkontrolou.cz/map/?draw_selection_circle=1#%7B%22lat%22%3A%2049.6675857637729%2C%20%22lng%22%3A%2018.6799785176415%2C%20%22zoom%22%3A%2020%7D")</f>
        <v>http://www.stromypodkontrolou.cz/map/?draw_selection_circle=1#%7B%22lat%22%3A%2049.6675857637729%2C%20%22lng%22%3A%2018.6799785176415%2C%20%22zoom%22%3A%2020%7D</v>
      </c>
    </row>
    <row r="186" spans="1:25" ht="12.75">
      <c r="A186" s="3" t="s">
        <v>68</v>
      </c>
      <c r="B186" s="3">
        <v>121</v>
      </c>
      <c r="C186" s="3" t="s">
        <v>98</v>
      </c>
      <c r="D186" s="3" t="s">
        <v>23</v>
      </c>
      <c r="E186" s="3" t="s">
        <v>198</v>
      </c>
      <c r="F186" s="3">
        <v>41</v>
      </c>
      <c r="G186" s="3"/>
      <c r="H186" s="3"/>
      <c r="I186" s="3"/>
      <c r="J186" s="3">
        <v>129</v>
      </c>
      <c r="K186" s="3"/>
      <c r="L186" s="3"/>
      <c r="M186" s="3"/>
      <c r="N186" s="3">
        <v>28</v>
      </c>
      <c r="O186" s="3">
        <v>13</v>
      </c>
      <c r="P186" s="3">
        <v>8</v>
      </c>
      <c r="Q186" s="3" t="s">
        <v>301</v>
      </c>
      <c r="R186" s="3" t="s">
        <v>338</v>
      </c>
      <c r="S186" s="3" t="s">
        <v>189</v>
      </c>
      <c r="T186" s="3"/>
      <c r="U186" s="3" t="s">
        <v>218</v>
      </c>
      <c r="V186" s="3" t="s">
        <v>219</v>
      </c>
      <c r="W186" s="3"/>
      <c r="X186" s="3"/>
      <c r="Y186" s="3" t="str">
        <f>HYPERLINK("http://www.stromypodkontrolou.cz/map/?draw_selection_circle=1#%7B%22lat%22%3A%2049.6674714058019%2C%20%22lng%22%3A%2018.6799473369572%2C%20%22zoom%22%3A%2020%7D")</f>
        <v>http://www.stromypodkontrolou.cz/map/?draw_selection_circle=1#%7B%22lat%22%3A%2049.6674714058019%2C%20%22lng%22%3A%2018.6799473369572%2C%20%22zoom%22%3A%2020%7D</v>
      </c>
    </row>
    <row r="187" spans="1:25" ht="12.75">
      <c r="A187" s="3" t="s">
        <v>68</v>
      </c>
      <c r="B187" s="3">
        <v>119</v>
      </c>
      <c r="C187" s="3" t="s">
        <v>99</v>
      </c>
      <c r="D187" s="3" t="s">
        <v>23</v>
      </c>
      <c r="E187" s="3" t="s">
        <v>198</v>
      </c>
      <c r="F187" s="3">
        <v>23</v>
      </c>
      <c r="G187" s="3"/>
      <c r="H187" s="3"/>
      <c r="I187" s="3"/>
      <c r="J187" s="3">
        <v>72</v>
      </c>
      <c r="K187" s="3"/>
      <c r="L187" s="3"/>
      <c r="M187" s="3"/>
      <c r="N187" s="3">
        <v>15</v>
      </c>
      <c r="O187" s="3">
        <v>12</v>
      </c>
      <c r="P187" s="3">
        <v>6</v>
      </c>
      <c r="Q187" s="3" t="s">
        <v>301</v>
      </c>
      <c r="R187" s="3" t="s">
        <v>339</v>
      </c>
      <c r="S187" s="3" t="s">
        <v>189</v>
      </c>
      <c r="T187" s="3"/>
      <c r="U187" s="3" t="s">
        <v>169</v>
      </c>
      <c r="V187" s="3" t="s">
        <v>170</v>
      </c>
      <c r="W187" s="3"/>
      <c r="X187" s="3"/>
      <c r="Y187" s="3" t="str">
        <f>HYPERLINK("http://www.stromypodkontrolou.cz/map/?draw_selection_circle=1#%7B%22lat%22%3A%2049.6674813877169%2C%20%22lng%22%3A%2018.6799962872763%2C%20%22zoom%22%3A%2020%7D")</f>
        <v>http://www.stromypodkontrolou.cz/map/?draw_selection_circle=1#%7B%22lat%22%3A%2049.6674813877169%2C%20%22lng%22%3A%2018.6799962872763%2C%20%22zoom%22%3A%2020%7D</v>
      </c>
    </row>
    <row r="188" spans="1:25" ht="12.75">
      <c r="A188" s="3" t="s">
        <v>68</v>
      </c>
      <c r="B188" s="3">
        <v>118</v>
      </c>
      <c r="C188" s="3" t="s">
        <v>100</v>
      </c>
      <c r="D188" s="3" t="s">
        <v>23</v>
      </c>
      <c r="E188" s="3" t="s">
        <v>198</v>
      </c>
      <c r="F188" s="3">
        <v>42</v>
      </c>
      <c r="G188" s="3"/>
      <c r="H188" s="3"/>
      <c r="I188" s="3"/>
      <c r="J188" s="3">
        <v>132</v>
      </c>
      <c r="K188" s="3"/>
      <c r="L188" s="3"/>
      <c r="M188" s="3"/>
      <c r="N188" s="3">
        <v>27</v>
      </c>
      <c r="O188" s="3">
        <v>16</v>
      </c>
      <c r="P188" s="3">
        <v>7</v>
      </c>
      <c r="Q188" s="3" t="s">
        <v>301</v>
      </c>
      <c r="R188" s="3" t="s">
        <v>340</v>
      </c>
      <c r="S188" s="3" t="s">
        <v>189</v>
      </c>
      <c r="T188" s="3"/>
      <c r="U188" s="3" t="s">
        <v>218</v>
      </c>
      <c r="V188" s="3" t="s">
        <v>219</v>
      </c>
      <c r="W188" s="3"/>
      <c r="X188" s="3"/>
      <c r="Y188" s="3" t="str">
        <f>HYPERLINK("http://www.stromypodkontrolou.cz/map/?draw_selection_circle=1#%7B%22lat%22%3A%2049.6674959265976%2C%20%22lng%22%3A%2018.679976170704%2C%20%22zoom%22%3A%2020%7D")</f>
        <v>http://www.stromypodkontrolou.cz/map/?draw_selection_circle=1#%7B%22lat%22%3A%2049.6674959265976%2C%20%22lng%22%3A%2018.679976170704%2C%20%22zoom%22%3A%2020%7D</v>
      </c>
    </row>
    <row r="189" spans="1:25" ht="12.75">
      <c r="A189" s="36" t="s">
        <v>101</v>
      </c>
      <c r="B189" s="36">
        <v>111</v>
      </c>
      <c r="C189" s="36"/>
      <c r="D189" s="36" t="s">
        <v>72</v>
      </c>
      <c r="E189" s="36" t="s">
        <v>292</v>
      </c>
      <c r="F189" s="36">
        <v>5</v>
      </c>
      <c r="G189" s="36"/>
      <c r="H189" s="36"/>
      <c r="I189" s="36"/>
      <c r="J189" s="36">
        <v>16</v>
      </c>
      <c r="K189" s="36"/>
      <c r="L189" s="36"/>
      <c r="M189" s="36"/>
      <c r="N189" s="36">
        <v>1</v>
      </c>
      <c r="O189" s="36">
        <v>0</v>
      </c>
      <c r="P189" s="36">
        <v>1</v>
      </c>
      <c r="Q189" s="36" t="s">
        <v>179</v>
      </c>
      <c r="R189" s="36" t="s">
        <v>196</v>
      </c>
      <c r="S189" s="36" t="s">
        <v>189</v>
      </c>
      <c r="T189" s="36" t="s">
        <v>341</v>
      </c>
      <c r="U189" s="3" t="s">
        <v>171</v>
      </c>
      <c r="V189" s="3" t="s">
        <v>172</v>
      </c>
      <c r="W189" s="3"/>
      <c r="X189" s="3"/>
      <c r="Y189" s="36" t="str">
        <f>HYPERLINK("http://www.stromypodkontrolou.cz/map/?draw_selection_circle=1#%7B%22lat%22%3A%2049.6660246187%2C%20%22lng%22%3A%2018.6776867441%2C%20%22zoom%22%3A%2020%7D")</f>
        <v>http://www.stromypodkontrolou.cz/map/?draw_selection_circle=1#%7B%22lat%22%3A%2049.6660246187%2C%20%22lng%22%3A%2018.6776867441%2C%20%22zoom%22%3A%2020%7D</v>
      </c>
    </row>
    <row r="190" spans="1:25" ht="12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" t="s">
        <v>169</v>
      </c>
      <c r="V190" s="3" t="s">
        <v>170</v>
      </c>
      <c r="W190" s="3"/>
      <c r="X190" s="3"/>
      <c r="Y190" s="36"/>
    </row>
    <row r="191" spans="1:25" ht="12.75">
      <c r="A191" s="36" t="s">
        <v>102</v>
      </c>
      <c r="B191" s="36">
        <v>31</v>
      </c>
      <c r="C191" s="36"/>
      <c r="D191" s="36" t="s">
        <v>21</v>
      </c>
      <c r="E191" s="36" t="s">
        <v>197</v>
      </c>
      <c r="F191" s="36">
        <v>22</v>
      </c>
      <c r="G191" s="36"/>
      <c r="H191" s="36"/>
      <c r="I191" s="36"/>
      <c r="J191" s="36">
        <v>69</v>
      </c>
      <c r="K191" s="36"/>
      <c r="L191" s="36"/>
      <c r="M191" s="36"/>
      <c r="N191" s="36">
        <v>15</v>
      </c>
      <c r="O191" s="36">
        <v>3</v>
      </c>
      <c r="P191" s="36">
        <v>7</v>
      </c>
      <c r="Q191" s="36" t="s">
        <v>181</v>
      </c>
      <c r="R191" s="36" t="s">
        <v>342</v>
      </c>
      <c r="S191" s="36" t="s">
        <v>189</v>
      </c>
      <c r="T191" s="36" t="s">
        <v>343</v>
      </c>
      <c r="U191" s="3" t="s">
        <v>191</v>
      </c>
      <c r="V191" s="3" t="s">
        <v>192</v>
      </c>
      <c r="W191" s="3"/>
      <c r="X191" s="3"/>
      <c r="Y191" s="36" t="str">
        <f>HYPERLINK("http://www.stromypodkontrolou.cz/map/?draw_selection_circle=1#%7B%22lat%22%3A%2049.6637139945825%2C%20%22lng%22%3A%2018.6798230123278%2C%20%22zoom%22%3A%2020%7D")</f>
        <v>http://www.stromypodkontrolou.cz/map/?draw_selection_circle=1#%7B%22lat%22%3A%2049.6637139945825%2C%20%22lng%22%3A%2018.6798230123278%2C%20%22zoom%22%3A%2020%7D</v>
      </c>
    </row>
    <row r="192" spans="1:25" ht="12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" t="s">
        <v>171</v>
      </c>
      <c r="V192" s="3" t="s">
        <v>172</v>
      </c>
      <c r="W192" s="3"/>
      <c r="X192" s="3"/>
      <c r="Y192" s="36"/>
    </row>
    <row r="193" spans="1:25" ht="12.75">
      <c r="A193" s="36" t="s">
        <v>103</v>
      </c>
      <c r="B193" s="36">
        <v>9</v>
      </c>
      <c r="C193" s="36"/>
      <c r="D193" s="36" t="s">
        <v>104</v>
      </c>
      <c r="E193" s="36" t="s">
        <v>344</v>
      </c>
      <c r="F193" s="36">
        <v>9</v>
      </c>
      <c r="G193" s="36">
        <v>8</v>
      </c>
      <c r="H193" s="36">
        <v>7</v>
      </c>
      <c r="I193" s="36"/>
      <c r="J193" s="36">
        <v>28</v>
      </c>
      <c r="K193" s="36">
        <v>25</v>
      </c>
      <c r="L193" s="36">
        <v>22</v>
      </c>
      <c r="M193" s="36"/>
      <c r="N193" s="36">
        <v>5</v>
      </c>
      <c r="O193" s="36">
        <v>1</v>
      </c>
      <c r="P193" s="36">
        <v>4</v>
      </c>
      <c r="Q193" s="36" t="s">
        <v>166</v>
      </c>
      <c r="R193" s="36"/>
      <c r="S193" s="36" t="s">
        <v>250</v>
      </c>
      <c r="T193" s="36" t="s">
        <v>345</v>
      </c>
      <c r="U193" s="3" t="s">
        <v>169</v>
      </c>
      <c r="V193" s="3" t="s">
        <v>170</v>
      </c>
      <c r="W193" s="3"/>
      <c r="X193" s="3"/>
      <c r="Y193" s="36" t="str">
        <f>HYPERLINK("http://www.stromypodkontrolou.cz/map/?draw_selection_circle=1#%7B%22lat%22%3A%2049.6719348683319%2C%20%22lng%22%3A%2018.6430617609454%2C%20%22zoom%22%3A%2020%7D")</f>
        <v>http://www.stromypodkontrolou.cz/map/?draw_selection_circle=1#%7B%22lat%22%3A%2049.6719348683319%2C%20%22lng%22%3A%2018.6430617609454%2C%20%22zoom%22%3A%2020%7D</v>
      </c>
    </row>
    <row r="194" spans="1:25" ht="12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" t="s">
        <v>171</v>
      </c>
      <c r="V194" s="3" t="s">
        <v>172</v>
      </c>
      <c r="W194" s="3"/>
      <c r="X194" s="3"/>
      <c r="Y194" s="36"/>
    </row>
    <row r="195" spans="1:25" ht="12.75">
      <c r="A195" s="36" t="s">
        <v>103</v>
      </c>
      <c r="B195" s="36">
        <v>20</v>
      </c>
      <c r="C195" s="36"/>
      <c r="D195" s="36" t="s">
        <v>105</v>
      </c>
      <c r="E195" s="36" t="s">
        <v>346</v>
      </c>
      <c r="F195" s="36">
        <v>7</v>
      </c>
      <c r="G195" s="36">
        <v>6</v>
      </c>
      <c r="H195" s="36">
        <v>6</v>
      </c>
      <c r="I195" s="36">
        <v>6</v>
      </c>
      <c r="J195" s="36">
        <v>22</v>
      </c>
      <c r="K195" s="36">
        <v>19</v>
      </c>
      <c r="L195" s="36">
        <v>19</v>
      </c>
      <c r="M195" s="36">
        <v>19</v>
      </c>
      <c r="N195" s="36">
        <v>5</v>
      </c>
      <c r="O195" s="36">
        <v>0</v>
      </c>
      <c r="P195" s="36">
        <v>5</v>
      </c>
      <c r="Q195" s="36" t="s">
        <v>166</v>
      </c>
      <c r="R195" s="36" t="s">
        <v>239</v>
      </c>
      <c r="S195" s="36" t="s">
        <v>250</v>
      </c>
      <c r="T195" s="36" t="s">
        <v>345</v>
      </c>
      <c r="U195" s="3" t="s">
        <v>169</v>
      </c>
      <c r="V195" s="3" t="s">
        <v>170</v>
      </c>
      <c r="W195" s="3"/>
      <c r="X195" s="3"/>
      <c r="Y195" s="36" t="str">
        <f>HYPERLINK("http://www.stromypodkontrolou.cz/map/?draw_selection_circle=1#%7B%22lat%22%3A%2049.6723199908739%2C%20%22lng%22%3A%2018.6427985159339%2C%20%22zoom%22%3A%2020%7D")</f>
        <v>http://www.stromypodkontrolou.cz/map/?draw_selection_circle=1#%7B%22lat%22%3A%2049.6723199908739%2C%20%22lng%22%3A%2018.6427985159339%2C%20%22zoom%22%3A%2020%7D</v>
      </c>
    </row>
    <row r="196" spans="1:25" ht="12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" t="s">
        <v>171</v>
      </c>
      <c r="V196" s="3" t="s">
        <v>172</v>
      </c>
      <c r="W196" s="3"/>
      <c r="X196" s="3"/>
      <c r="Y196" s="36"/>
    </row>
    <row r="197" spans="1:25" ht="12.75">
      <c r="A197" s="36" t="s">
        <v>12</v>
      </c>
      <c r="B197" s="36">
        <v>520</v>
      </c>
      <c r="C197" s="36"/>
      <c r="D197" s="36" t="s">
        <v>106</v>
      </c>
      <c r="E197" s="36" t="s">
        <v>347</v>
      </c>
      <c r="F197" s="36">
        <v>3</v>
      </c>
      <c r="G197" s="36">
        <v>2</v>
      </c>
      <c r="H197" s="36"/>
      <c r="I197" s="36"/>
      <c r="J197" s="36">
        <v>9</v>
      </c>
      <c r="K197" s="36">
        <v>6</v>
      </c>
      <c r="L197" s="36"/>
      <c r="M197" s="36"/>
      <c r="N197" s="36">
        <v>3</v>
      </c>
      <c r="O197" s="36">
        <v>0</v>
      </c>
      <c r="P197" s="36">
        <v>1</v>
      </c>
      <c r="Q197" s="36" t="s">
        <v>166</v>
      </c>
      <c r="R197" s="36" t="s">
        <v>296</v>
      </c>
      <c r="S197" s="36" t="s">
        <v>177</v>
      </c>
      <c r="T197" s="36" t="s">
        <v>222</v>
      </c>
      <c r="U197" s="3" t="s">
        <v>169</v>
      </c>
      <c r="V197" s="3" t="s">
        <v>170</v>
      </c>
      <c r="W197" s="3"/>
      <c r="X197" s="3"/>
      <c r="Y197" s="36" t="str">
        <f>HYPERLINK("http://www.stromypodkontrolou.cz/map/?draw_selection_circle=1#%7B%22lat%22%3A%2049.6777792247616%2C%20%22lng%22%3A%2018.6862816826221%2C%20%22zoom%22%3A%2020%7D")</f>
        <v>http://www.stromypodkontrolou.cz/map/?draw_selection_circle=1#%7B%22lat%22%3A%2049.6777792247616%2C%20%22lng%22%3A%2018.6862816826221%2C%20%22zoom%22%3A%2020%7D</v>
      </c>
    </row>
    <row r="198" spans="1:25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" t="s">
        <v>171</v>
      </c>
      <c r="V198" s="3" t="s">
        <v>172</v>
      </c>
      <c r="W198" s="3"/>
      <c r="X198" s="3"/>
      <c r="Y198" s="36"/>
    </row>
    <row r="199" spans="1:25" ht="12.75">
      <c r="A199" s="36" t="s">
        <v>107</v>
      </c>
      <c r="B199" s="36">
        <v>18</v>
      </c>
      <c r="C199" s="36"/>
      <c r="D199" s="36" t="s">
        <v>41</v>
      </c>
      <c r="E199" s="36" t="s">
        <v>238</v>
      </c>
      <c r="F199" s="36">
        <v>15</v>
      </c>
      <c r="G199" s="36">
        <v>14</v>
      </c>
      <c r="H199" s="36"/>
      <c r="I199" s="36"/>
      <c r="J199" s="36">
        <v>47</v>
      </c>
      <c r="K199" s="36">
        <v>44</v>
      </c>
      <c r="L199" s="36"/>
      <c r="M199" s="36"/>
      <c r="N199" s="36">
        <v>9</v>
      </c>
      <c r="O199" s="36">
        <v>0</v>
      </c>
      <c r="P199" s="36">
        <v>5</v>
      </c>
      <c r="Q199" s="36" t="s">
        <v>181</v>
      </c>
      <c r="R199" s="36" t="s">
        <v>348</v>
      </c>
      <c r="S199" s="36" t="s">
        <v>189</v>
      </c>
      <c r="T199" s="36" t="s">
        <v>349</v>
      </c>
      <c r="U199" s="3" t="s">
        <v>171</v>
      </c>
      <c r="V199" s="3" t="s">
        <v>172</v>
      </c>
      <c r="W199" s="3"/>
      <c r="X199" s="3"/>
      <c r="Y199" s="36" t="str">
        <f>HYPERLINK("http://www.stromypodkontrolou.cz/map/?draw_selection_circle=1#%7B%22lat%22%3A%2049.6603740650147%2C%20%22lng%22%3A%2018.6720733380971%2C%20%22zoom%22%3A%2020%7D")</f>
        <v>http://www.stromypodkontrolou.cz/map/?draw_selection_circle=1#%7B%22lat%22%3A%2049.6603740650147%2C%20%22lng%22%3A%2018.6720733380971%2C%20%22zoom%22%3A%2020%7D</v>
      </c>
    </row>
    <row r="200" spans="1:25" ht="12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" t="s">
        <v>169</v>
      </c>
      <c r="V200" s="3" t="s">
        <v>170</v>
      </c>
      <c r="W200" s="3"/>
      <c r="X200" s="3"/>
      <c r="Y200" s="36"/>
    </row>
    <row r="201" spans="1:25" ht="12.75">
      <c r="A201" s="36" t="s">
        <v>37</v>
      </c>
      <c r="B201" s="36">
        <v>61</v>
      </c>
      <c r="C201" s="36"/>
      <c r="D201" s="36" t="s">
        <v>44</v>
      </c>
      <c r="E201" s="36" t="s">
        <v>242</v>
      </c>
      <c r="F201" s="36">
        <v>17</v>
      </c>
      <c r="G201" s="36"/>
      <c r="H201" s="36"/>
      <c r="I201" s="36"/>
      <c r="J201" s="36">
        <v>53</v>
      </c>
      <c r="K201" s="36"/>
      <c r="L201" s="36"/>
      <c r="M201" s="36"/>
      <c r="N201" s="36">
        <v>9</v>
      </c>
      <c r="O201" s="36">
        <v>2</v>
      </c>
      <c r="P201" s="36">
        <v>4</v>
      </c>
      <c r="Q201" s="36" t="s">
        <v>166</v>
      </c>
      <c r="R201" s="36" t="s">
        <v>196</v>
      </c>
      <c r="S201" s="36" t="s">
        <v>189</v>
      </c>
      <c r="T201" s="36" t="s">
        <v>350</v>
      </c>
      <c r="U201" s="3" t="s">
        <v>169</v>
      </c>
      <c r="V201" s="3" t="s">
        <v>170</v>
      </c>
      <c r="W201" s="3"/>
      <c r="X201" s="3"/>
      <c r="Y201" s="36" t="str">
        <f>HYPERLINK("http://www.stromypodkontrolou.cz/map/?draw_selection_circle=1#%7B%22lat%22%3A%2049.6714688463802%2C%20%22lng%22%3A%2018.6790572587843%2C%20%22zoom%22%3A%2020%7D")</f>
        <v>http://www.stromypodkontrolou.cz/map/?draw_selection_circle=1#%7B%22lat%22%3A%2049.6714688463802%2C%20%22lng%22%3A%2018.6790572587843%2C%20%22zoom%22%3A%2020%7D</v>
      </c>
    </row>
    <row r="202" spans="1:25" ht="12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" t="s">
        <v>171</v>
      </c>
      <c r="V202" s="3" t="s">
        <v>172</v>
      </c>
      <c r="W202" s="3"/>
      <c r="X202" s="3"/>
      <c r="Y202" s="36"/>
    </row>
    <row r="203" spans="1:25" ht="12.75">
      <c r="A203" s="36" t="s">
        <v>37</v>
      </c>
      <c r="B203" s="36">
        <v>88</v>
      </c>
      <c r="C203" s="36"/>
      <c r="D203" s="36" t="s">
        <v>94</v>
      </c>
      <c r="E203" s="36" t="s">
        <v>332</v>
      </c>
      <c r="F203" s="36">
        <v>9</v>
      </c>
      <c r="G203" s="36"/>
      <c r="H203" s="36"/>
      <c r="I203" s="36"/>
      <c r="J203" s="36">
        <v>28</v>
      </c>
      <c r="K203" s="36"/>
      <c r="L203" s="36"/>
      <c r="M203" s="36"/>
      <c r="N203" s="36">
        <v>6</v>
      </c>
      <c r="O203" s="36">
        <v>1</v>
      </c>
      <c r="P203" s="36">
        <v>4</v>
      </c>
      <c r="Q203" s="36"/>
      <c r="R203" s="36"/>
      <c r="S203" s="36" t="s">
        <v>189</v>
      </c>
      <c r="T203" s="36"/>
      <c r="U203" s="3" t="s">
        <v>169</v>
      </c>
      <c r="V203" s="3" t="s">
        <v>170</v>
      </c>
      <c r="W203" s="3"/>
      <c r="X203" s="3"/>
      <c r="Y203" s="36" t="str">
        <f>HYPERLINK("http://www.stromypodkontrolou.cz/map/?draw_selection_circle=1#%7B%22lat%22%3A%2049.671421463287%2C%20%22lng%22%3A%2018.6790481050313%2C%20%22zoom%22%3A%2020%7D")</f>
        <v>http://www.stromypodkontrolou.cz/map/?draw_selection_circle=1#%7B%22lat%22%3A%2049.671421463287%2C%20%22lng%22%3A%2018.6790481050313%2C%20%22zoom%22%3A%2020%7D</v>
      </c>
    </row>
    <row r="204" spans="1:25" ht="12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" t="s">
        <v>171</v>
      </c>
      <c r="V204" s="3" t="s">
        <v>172</v>
      </c>
      <c r="W204" s="3"/>
      <c r="X204" s="3"/>
      <c r="Y204" s="36"/>
    </row>
    <row r="205" spans="1:25" ht="12.75">
      <c r="A205" s="36" t="s">
        <v>37</v>
      </c>
      <c r="B205" s="36">
        <v>89</v>
      </c>
      <c r="C205" s="36"/>
      <c r="D205" s="36" t="s">
        <v>94</v>
      </c>
      <c r="E205" s="36" t="s">
        <v>332</v>
      </c>
      <c r="F205" s="36">
        <v>8</v>
      </c>
      <c r="G205" s="36">
        <v>8</v>
      </c>
      <c r="H205" s="36">
        <v>8</v>
      </c>
      <c r="I205" s="36">
        <v>6</v>
      </c>
      <c r="J205" s="36">
        <v>25</v>
      </c>
      <c r="K205" s="36">
        <v>25</v>
      </c>
      <c r="L205" s="36">
        <v>25</v>
      </c>
      <c r="M205" s="36">
        <v>19</v>
      </c>
      <c r="N205" s="36">
        <v>5</v>
      </c>
      <c r="O205" s="36">
        <v>1</v>
      </c>
      <c r="P205" s="36">
        <v>4</v>
      </c>
      <c r="Q205" s="36" t="s">
        <v>166</v>
      </c>
      <c r="R205" s="36" t="s">
        <v>196</v>
      </c>
      <c r="S205" s="36" t="s">
        <v>189</v>
      </c>
      <c r="T205" s="36"/>
      <c r="U205" s="3" t="s">
        <v>169</v>
      </c>
      <c r="V205" s="3" t="s">
        <v>170</v>
      </c>
      <c r="W205" s="3"/>
      <c r="X205" s="3"/>
      <c r="Y205" s="36" t="str">
        <f>HYPERLINK("http://www.stromypodkontrolou.cz/map/?draw_selection_circle=1#%7B%22lat%22%3A%2049.6713908883735%2C%20%22lng%22%3A%2018.6789468729457%2C%20%22zoom%22%3A%2020%7D")</f>
        <v>http://www.stromypodkontrolou.cz/map/?draw_selection_circle=1#%7B%22lat%22%3A%2049.6713908883735%2C%20%22lng%22%3A%2018.6789468729457%2C%20%22zoom%22%3A%2020%7D</v>
      </c>
    </row>
    <row r="206" spans="1:25" ht="12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" t="s">
        <v>171</v>
      </c>
      <c r="V206" s="3" t="s">
        <v>172</v>
      </c>
      <c r="W206" s="3"/>
      <c r="X206" s="3"/>
      <c r="Y206" s="36"/>
    </row>
    <row r="207" spans="1:25" ht="12.75">
      <c r="A207" s="36" t="s">
        <v>82</v>
      </c>
      <c r="B207" s="36">
        <v>84</v>
      </c>
      <c r="C207" s="36"/>
      <c r="D207" s="36" t="s">
        <v>108</v>
      </c>
      <c r="E207" s="36" t="s">
        <v>351</v>
      </c>
      <c r="F207" s="36">
        <v>15</v>
      </c>
      <c r="G207" s="36">
        <v>13</v>
      </c>
      <c r="H207" s="36"/>
      <c r="I207" s="36"/>
      <c r="J207" s="36">
        <v>47</v>
      </c>
      <c r="K207" s="36">
        <v>41</v>
      </c>
      <c r="L207" s="36"/>
      <c r="M207" s="36"/>
      <c r="N207" s="36">
        <v>13</v>
      </c>
      <c r="O207" s="36">
        <v>2</v>
      </c>
      <c r="P207" s="36">
        <v>8</v>
      </c>
      <c r="Q207" s="36" t="s">
        <v>181</v>
      </c>
      <c r="R207" s="36" t="s">
        <v>352</v>
      </c>
      <c r="S207" s="36" t="s">
        <v>189</v>
      </c>
      <c r="T207" s="36" t="s">
        <v>306</v>
      </c>
      <c r="U207" s="3" t="s">
        <v>218</v>
      </c>
      <c r="V207" s="3" t="s">
        <v>219</v>
      </c>
      <c r="W207" s="3"/>
      <c r="X207" s="3"/>
      <c r="Y207" s="36" t="str">
        <f>HYPERLINK("http://www.stromypodkontrolou.cz/map/?draw_selection_circle=1#%7B%22lat%22%3A%2049.6687903166808%2C%20%22lng%22%3A%2018.6776150367716%2C%20%22zoom%22%3A%2020%7D")</f>
        <v>http://www.stromypodkontrolou.cz/map/?draw_selection_circle=1#%7B%22lat%22%3A%2049.6687903166808%2C%20%22lng%22%3A%2018.6776150367716%2C%20%22zoom%22%3A%2020%7D</v>
      </c>
    </row>
    <row r="208" spans="1:25" ht="12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" t="s">
        <v>171</v>
      </c>
      <c r="V208" s="3" t="s">
        <v>172</v>
      </c>
      <c r="W208" s="3"/>
      <c r="X208" s="3"/>
      <c r="Y208" s="36"/>
    </row>
    <row r="209" spans="1:25" ht="12.75">
      <c r="A209" s="36" t="s">
        <v>109</v>
      </c>
      <c r="B209" s="36">
        <v>32</v>
      </c>
      <c r="C209" s="36"/>
      <c r="D209" s="36" t="s">
        <v>44</v>
      </c>
      <c r="E209" s="36" t="s">
        <v>242</v>
      </c>
      <c r="F209" s="36">
        <v>10</v>
      </c>
      <c r="G209" s="36">
        <v>9</v>
      </c>
      <c r="H209" s="36">
        <v>8</v>
      </c>
      <c r="I209" s="36">
        <v>8</v>
      </c>
      <c r="J209" s="36">
        <v>31</v>
      </c>
      <c r="K209" s="36">
        <v>28</v>
      </c>
      <c r="L209" s="36">
        <v>25</v>
      </c>
      <c r="M209" s="36">
        <v>25</v>
      </c>
      <c r="N209" s="36">
        <v>7</v>
      </c>
      <c r="O209" s="36">
        <v>2</v>
      </c>
      <c r="P209" s="36">
        <v>6</v>
      </c>
      <c r="Q209" s="36" t="s">
        <v>181</v>
      </c>
      <c r="R209" s="36" t="s">
        <v>239</v>
      </c>
      <c r="S209" s="36" t="s">
        <v>7</v>
      </c>
      <c r="T209" s="36" t="s">
        <v>353</v>
      </c>
      <c r="U209" s="3" t="s">
        <v>169</v>
      </c>
      <c r="V209" s="3" t="s">
        <v>170</v>
      </c>
      <c r="W209" s="3"/>
      <c r="X209" s="3"/>
      <c r="Y209" s="36" t="str">
        <f>HYPERLINK("http://www.stromypodkontrolou.cz/map/?draw_selection_circle=1#%7B%22lat%22%3A%2049.6802452661%2C%20%22lng%22%3A%2018.6690181049%2C%20%22zoom%22%3A%2020%7D")</f>
        <v>http://www.stromypodkontrolou.cz/map/?draw_selection_circle=1#%7B%22lat%22%3A%2049.6802452661%2C%20%22lng%22%3A%2018.6690181049%2C%20%22zoom%22%3A%2020%7D</v>
      </c>
    </row>
    <row r="210" spans="1:25" ht="12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" t="s">
        <v>171</v>
      </c>
      <c r="V210" s="3" t="s">
        <v>172</v>
      </c>
      <c r="W210" s="3"/>
      <c r="X210" s="3"/>
      <c r="Y210" s="36"/>
    </row>
    <row r="211" spans="1:25" ht="12.75">
      <c r="A211" s="36" t="s">
        <v>73</v>
      </c>
      <c r="B211" s="36">
        <v>49</v>
      </c>
      <c r="C211" s="36"/>
      <c r="D211" s="36" t="s">
        <v>72</v>
      </c>
      <c r="E211" s="36" t="s">
        <v>292</v>
      </c>
      <c r="F211" s="36">
        <v>25</v>
      </c>
      <c r="G211" s="36">
        <v>22</v>
      </c>
      <c r="H211" s="36"/>
      <c r="I211" s="36"/>
      <c r="J211" s="36">
        <v>79</v>
      </c>
      <c r="K211" s="36">
        <v>69</v>
      </c>
      <c r="L211" s="36"/>
      <c r="M211" s="36"/>
      <c r="N211" s="36">
        <v>14</v>
      </c>
      <c r="O211" s="36">
        <v>1</v>
      </c>
      <c r="P211" s="36">
        <v>5</v>
      </c>
      <c r="Q211" s="36" t="s">
        <v>181</v>
      </c>
      <c r="R211" s="36" t="s">
        <v>233</v>
      </c>
      <c r="S211" s="36" t="s">
        <v>189</v>
      </c>
      <c r="T211" s="36" t="s">
        <v>354</v>
      </c>
      <c r="U211" s="3" t="s">
        <v>218</v>
      </c>
      <c r="V211" s="3" t="s">
        <v>219</v>
      </c>
      <c r="W211" s="3"/>
      <c r="X211" s="3"/>
      <c r="Y211" s="36" t="str">
        <f>HYPERLINK("http://www.stromypodkontrolou.cz/map/?draw_selection_circle=1#%7B%22lat%22%3A%2049.6648740340561%2C%20%22lng%22%3A%2018.6771595817409%2C%20%22zoom%22%3A%2020%7D")</f>
        <v>http://www.stromypodkontrolou.cz/map/?draw_selection_circle=1#%7B%22lat%22%3A%2049.6648740340561%2C%20%22lng%22%3A%2018.6771595817409%2C%20%22zoom%22%3A%2020%7D</v>
      </c>
    </row>
    <row r="212" spans="1:25" ht="12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" t="s">
        <v>171</v>
      </c>
      <c r="V212" s="3" t="s">
        <v>172</v>
      </c>
      <c r="W212" s="3"/>
      <c r="X212" s="3"/>
      <c r="Y212" s="36"/>
    </row>
    <row r="213" spans="1:25" ht="12.75">
      <c r="A213" s="36" t="s">
        <v>26</v>
      </c>
      <c r="B213" s="36">
        <v>152</v>
      </c>
      <c r="C213" s="36"/>
      <c r="D213" s="36" t="s">
        <v>21</v>
      </c>
      <c r="E213" s="36" t="s">
        <v>197</v>
      </c>
      <c r="F213" s="36">
        <v>25</v>
      </c>
      <c r="G213" s="36"/>
      <c r="H213" s="36"/>
      <c r="I213" s="36"/>
      <c r="J213" s="36">
        <v>79</v>
      </c>
      <c r="K213" s="36"/>
      <c r="L213" s="36"/>
      <c r="M213" s="36"/>
      <c r="N213" s="36">
        <v>17</v>
      </c>
      <c r="O213" s="36">
        <v>7</v>
      </c>
      <c r="P213" s="36">
        <v>4</v>
      </c>
      <c r="Q213" s="36" t="s">
        <v>166</v>
      </c>
      <c r="R213" s="36" t="s">
        <v>226</v>
      </c>
      <c r="S213" s="36" t="s">
        <v>189</v>
      </c>
      <c r="T213" s="36" t="s">
        <v>206</v>
      </c>
      <c r="U213" s="3" t="s">
        <v>191</v>
      </c>
      <c r="V213" s="3" t="s">
        <v>192</v>
      </c>
      <c r="W213" s="3"/>
      <c r="X213" s="3"/>
      <c r="Y213" s="36" t="str">
        <f>HYPERLINK("http://www.stromypodkontrolou.cz/map/?draw_selection_circle=1#%7B%22lat%22%3A%2049.6654586286654%2C%20%22lng%22%3A%2018.6758833029313%2C%20%22zoom%22%3A%2020%7D")</f>
        <v>http://www.stromypodkontrolou.cz/map/?draw_selection_circle=1#%7B%22lat%22%3A%2049.6654586286654%2C%20%22lng%22%3A%2018.6758833029313%2C%20%22zoom%22%3A%2020%7D</v>
      </c>
    </row>
    <row r="214" spans="1:25" ht="12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" t="s">
        <v>171</v>
      </c>
      <c r="V214" s="3" t="s">
        <v>172</v>
      </c>
      <c r="W214" s="3"/>
      <c r="X214" s="3"/>
      <c r="Y214" s="36"/>
    </row>
    <row r="215" spans="1:25" ht="12.75">
      <c r="A215" s="36" t="s">
        <v>26</v>
      </c>
      <c r="B215" s="36">
        <v>247</v>
      </c>
      <c r="C215" s="36"/>
      <c r="D215" s="36" t="s">
        <v>72</v>
      </c>
      <c r="E215" s="36" t="s">
        <v>292</v>
      </c>
      <c r="F215" s="36">
        <v>19</v>
      </c>
      <c r="G215" s="36"/>
      <c r="H215" s="36"/>
      <c r="I215" s="36"/>
      <c r="J215" s="36">
        <v>60</v>
      </c>
      <c r="K215" s="36"/>
      <c r="L215" s="36"/>
      <c r="M215" s="36"/>
      <c r="N215" s="36">
        <v>12</v>
      </c>
      <c r="O215" s="36">
        <v>1</v>
      </c>
      <c r="P215" s="36">
        <v>4</v>
      </c>
      <c r="Q215" s="36" t="s">
        <v>179</v>
      </c>
      <c r="R215" s="36" t="s">
        <v>196</v>
      </c>
      <c r="S215" s="36" t="s">
        <v>189</v>
      </c>
      <c r="T215" s="36" t="s">
        <v>206</v>
      </c>
      <c r="U215" s="3" t="s">
        <v>169</v>
      </c>
      <c r="V215" s="3" t="s">
        <v>170</v>
      </c>
      <c r="W215" s="3"/>
      <c r="X215" s="3"/>
      <c r="Y215" s="36" t="str">
        <f>HYPERLINK("http://www.stromypodkontrolou.cz/map/?draw_selection_circle=1#%7B%22lat%22%3A%2049.6644409999%2C%20%22lng%22%3A%2018.6737109919%2C%20%22zoom%22%3A%2020%7D")</f>
        <v>http://www.stromypodkontrolou.cz/map/?draw_selection_circle=1#%7B%22lat%22%3A%2049.6644409999%2C%20%22lng%22%3A%2018.6737109919%2C%20%22zoom%22%3A%2020%7D</v>
      </c>
    </row>
    <row r="216" spans="1:25" ht="12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" t="s">
        <v>171</v>
      </c>
      <c r="V216" s="3" t="s">
        <v>172</v>
      </c>
      <c r="W216" s="3"/>
      <c r="X216" s="3"/>
      <c r="Y216" s="36"/>
    </row>
    <row r="217" spans="1:25" ht="12.75">
      <c r="A217" s="36" t="s">
        <v>26</v>
      </c>
      <c r="B217" s="36">
        <v>328</v>
      </c>
      <c r="C217" s="36"/>
      <c r="D217" s="36" t="s">
        <v>41</v>
      </c>
      <c r="E217" s="36" t="s">
        <v>238</v>
      </c>
      <c r="F217" s="36">
        <v>12</v>
      </c>
      <c r="G217" s="36">
        <v>8</v>
      </c>
      <c r="H217" s="36">
        <v>8</v>
      </c>
      <c r="I217" s="36">
        <v>7</v>
      </c>
      <c r="J217" s="36">
        <v>38</v>
      </c>
      <c r="K217" s="36">
        <v>25</v>
      </c>
      <c r="L217" s="36">
        <v>25</v>
      </c>
      <c r="M217" s="36">
        <v>22</v>
      </c>
      <c r="N217" s="36">
        <v>9</v>
      </c>
      <c r="O217" s="36">
        <v>1</v>
      </c>
      <c r="P217" s="36">
        <v>5</v>
      </c>
      <c r="Q217" s="36" t="s">
        <v>181</v>
      </c>
      <c r="R217" s="36" t="s">
        <v>355</v>
      </c>
      <c r="S217" s="36" t="s">
        <v>189</v>
      </c>
      <c r="T217" s="36"/>
      <c r="U217" s="3" t="s">
        <v>169</v>
      </c>
      <c r="V217" s="3" t="s">
        <v>170</v>
      </c>
      <c r="W217" s="3"/>
      <c r="X217" s="3"/>
      <c r="Y217" s="36" t="str">
        <f>HYPERLINK("http://www.stromypodkontrolou.cz/map/?draw_selection_circle=1#%7B%22lat%22%3A%2049.6643805813384%2C%20%22lng%22%3A%2018.6743482042745%2C%20%22zoom%22%3A%2020%7D")</f>
        <v>http://www.stromypodkontrolou.cz/map/?draw_selection_circle=1#%7B%22lat%22%3A%2049.6643805813384%2C%20%22lng%22%3A%2018.6743482042745%2C%20%22zoom%22%3A%2020%7D</v>
      </c>
    </row>
    <row r="218" spans="1:25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" t="s">
        <v>171</v>
      </c>
      <c r="V218" s="3" t="s">
        <v>172</v>
      </c>
      <c r="W218" s="3"/>
      <c r="X218" s="3"/>
      <c r="Y218" s="36"/>
    </row>
    <row r="219" spans="1:25" ht="12.75">
      <c r="A219" s="36" t="s">
        <v>26</v>
      </c>
      <c r="B219" s="36">
        <v>327</v>
      </c>
      <c r="C219" s="36"/>
      <c r="D219" s="36" t="s">
        <v>41</v>
      </c>
      <c r="E219" s="36" t="s">
        <v>238</v>
      </c>
      <c r="F219" s="36">
        <v>12</v>
      </c>
      <c r="G219" s="36">
        <v>9</v>
      </c>
      <c r="H219" s="36">
        <v>8</v>
      </c>
      <c r="I219" s="36">
        <v>7</v>
      </c>
      <c r="J219" s="36">
        <v>38</v>
      </c>
      <c r="K219" s="36">
        <v>28</v>
      </c>
      <c r="L219" s="36">
        <v>25</v>
      </c>
      <c r="M219" s="36">
        <v>22</v>
      </c>
      <c r="N219" s="36">
        <v>9</v>
      </c>
      <c r="O219" s="36">
        <v>1</v>
      </c>
      <c r="P219" s="36">
        <v>4</v>
      </c>
      <c r="Q219" s="36" t="s">
        <v>181</v>
      </c>
      <c r="R219" s="36" t="s">
        <v>355</v>
      </c>
      <c r="S219" s="36" t="s">
        <v>189</v>
      </c>
      <c r="T219" s="36"/>
      <c r="U219" s="3" t="s">
        <v>169</v>
      </c>
      <c r="V219" s="3" t="s">
        <v>170</v>
      </c>
      <c r="W219" s="3"/>
      <c r="X219" s="3"/>
      <c r="Y219" s="36" t="str">
        <f>HYPERLINK("http://www.stromypodkontrolou.cz/map/?draw_selection_circle=1#%7B%22lat%22%3A%2049.6643473784736%2C%20%22lng%22%3A%2018.6743300993658%2C%20%22zoom%22%3A%2020%7D")</f>
        <v>http://www.stromypodkontrolou.cz/map/?draw_selection_circle=1#%7B%22lat%22%3A%2049.6643473784736%2C%20%22lng%22%3A%2018.6743300993658%2C%20%22zoom%22%3A%2020%7D</v>
      </c>
    </row>
    <row r="220" spans="1:25" ht="12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" t="s">
        <v>171</v>
      </c>
      <c r="V220" s="3" t="s">
        <v>172</v>
      </c>
      <c r="W220" s="3"/>
      <c r="X220" s="3"/>
      <c r="Y220" s="36"/>
    </row>
    <row r="221" spans="1:25" ht="12.75">
      <c r="A221" s="36" t="s">
        <v>110</v>
      </c>
      <c r="B221" s="36">
        <v>1</v>
      </c>
      <c r="C221" s="36"/>
      <c r="D221" s="36" t="s">
        <v>21</v>
      </c>
      <c r="E221" s="36" t="s">
        <v>197</v>
      </c>
      <c r="F221" s="36">
        <v>48</v>
      </c>
      <c r="G221" s="36"/>
      <c r="H221" s="36"/>
      <c r="I221" s="36"/>
      <c r="J221" s="36">
        <v>151</v>
      </c>
      <c r="K221" s="36"/>
      <c r="L221" s="36"/>
      <c r="M221" s="36"/>
      <c r="N221" s="36">
        <v>17</v>
      </c>
      <c r="O221" s="36">
        <v>1</v>
      </c>
      <c r="P221" s="36">
        <v>10</v>
      </c>
      <c r="Q221" s="36" t="s">
        <v>181</v>
      </c>
      <c r="R221" s="36" t="s">
        <v>356</v>
      </c>
      <c r="S221" s="36" t="s">
        <v>7</v>
      </c>
      <c r="T221" s="36" t="s">
        <v>357</v>
      </c>
      <c r="U221" s="3" t="s">
        <v>224</v>
      </c>
      <c r="V221" s="3" t="s">
        <v>225</v>
      </c>
      <c r="W221" s="3"/>
      <c r="X221" s="3"/>
      <c r="Y221" s="36" t="str">
        <f>HYPERLINK("http://www.stromypodkontrolou.cz/map/?draw_selection_circle=1#%7B%22lat%22%3A%2049.6773203197017%2C%20%22lng%22%3A%2018.6734082135502%2C%20%22zoom%22%3A%2020%7D")</f>
        <v>http://www.stromypodkontrolou.cz/map/?draw_selection_circle=1#%7B%22lat%22%3A%2049.6773203197017%2C%20%22lng%22%3A%2018.6734082135502%2C%20%22zoom%22%3A%2020%7D</v>
      </c>
    </row>
    <row r="222" spans="1:25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" t="s">
        <v>171</v>
      </c>
      <c r="V222" s="3" t="s">
        <v>172</v>
      </c>
      <c r="W222" s="3"/>
      <c r="X222" s="3"/>
      <c r="Y222" s="36"/>
    </row>
    <row r="223" spans="1:25" ht="12.75">
      <c r="A223" s="36" t="s">
        <v>12</v>
      </c>
      <c r="B223" s="36">
        <v>214</v>
      </c>
      <c r="C223" s="36"/>
      <c r="D223" s="36" t="s">
        <v>106</v>
      </c>
      <c r="E223" s="36" t="s">
        <v>347</v>
      </c>
      <c r="F223" s="36">
        <v>6</v>
      </c>
      <c r="G223" s="36">
        <v>5</v>
      </c>
      <c r="H223" s="36"/>
      <c r="I223" s="36"/>
      <c r="J223" s="36">
        <v>19</v>
      </c>
      <c r="K223" s="36">
        <v>16</v>
      </c>
      <c r="L223" s="36"/>
      <c r="M223" s="36"/>
      <c r="N223" s="36">
        <v>2</v>
      </c>
      <c r="O223" s="36">
        <v>0</v>
      </c>
      <c r="P223" s="36">
        <v>2</v>
      </c>
      <c r="Q223" s="36" t="s">
        <v>181</v>
      </c>
      <c r="R223" s="36" t="s">
        <v>208</v>
      </c>
      <c r="S223" s="36" t="s">
        <v>177</v>
      </c>
      <c r="T223" s="36" t="s">
        <v>358</v>
      </c>
      <c r="U223" s="3" t="s">
        <v>171</v>
      </c>
      <c r="V223" s="3" t="s">
        <v>172</v>
      </c>
      <c r="W223" s="3"/>
      <c r="X223" s="3"/>
      <c r="Y223" s="36" t="str">
        <f>HYPERLINK("http://www.stromypodkontrolou.cz/map/?draw_selection_circle=1#%7B%22lat%22%3A%2049.6794382367377%2C%20%22lng%22%3A%2018.6822100973591%2C%20%22zoom%22%3A%2020%7D")</f>
        <v>http://www.stromypodkontrolou.cz/map/?draw_selection_circle=1#%7B%22lat%22%3A%2049.6794382367377%2C%20%22lng%22%3A%2018.6822100973591%2C%20%22zoom%22%3A%2020%7D</v>
      </c>
    </row>
    <row r="224" spans="1:25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" t="s">
        <v>169</v>
      </c>
      <c r="V224" s="3" t="s">
        <v>170</v>
      </c>
      <c r="W224" s="3"/>
      <c r="X224" s="3"/>
      <c r="Y224" s="36"/>
    </row>
    <row r="225" spans="1:25" ht="12.75">
      <c r="A225" s="3" t="s">
        <v>12</v>
      </c>
      <c r="B225" s="3">
        <v>350</v>
      </c>
      <c r="C225" s="3"/>
      <c r="D225" s="3" t="s">
        <v>30</v>
      </c>
      <c r="E225" s="3" t="s">
        <v>211</v>
      </c>
      <c r="F225" s="3">
        <v>18</v>
      </c>
      <c r="G225" s="3"/>
      <c r="H225" s="3"/>
      <c r="I225" s="3"/>
      <c r="J225" s="3">
        <v>57</v>
      </c>
      <c r="K225" s="3"/>
      <c r="L225" s="3"/>
      <c r="M225" s="3"/>
      <c r="N225" s="3">
        <v>12</v>
      </c>
      <c r="O225" s="3">
        <v>2</v>
      </c>
      <c r="P225" s="3">
        <v>5</v>
      </c>
      <c r="Q225" s="3" t="s">
        <v>179</v>
      </c>
      <c r="R225" s="3" t="s">
        <v>359</v>
      </c>
      <c r="S225" s="3" t="s">
        <v>177</v>
      </c>
      <c r="T225" s="3" t="s">
        <v>212</v>
      </c>
      <c r="U225" s="3" t="s">
        <v>169</v>
      </c>
      <c r="V225" s="3" t="s">
        <v>170</v>
      </c>
      <c r="W225" s="3"/>
      <c r="X225" s="3"/>
      <c r="Y225" s="3" t="str">
        <f>HYPERLINK("http://www.stromypodkontrolou.cz/map/?draw_selection_circle=1#%7B%22lat%22%3A%2049.6787183744%2C%20%22lng%22%3A%2018.6847170445%2C%20%22zoom%22%3A%2020%7D")</f>
        <v>http://www.stromypodkontrolou.cz/map/?draw_selection_circle=1#%7B%22lat%22%3A%2049.6787183744%2C%20%22lng%22%3A%2018.6847170445%2C%20%22zoom%22%3A%2020%7D</v>
      </c>
    </row>
    <row r="226" spans="1:25" ht="12.75">
      <c r="A226" s="36" t="s">
        <v>12</v>
      </c>
      <c r="B226" s="36">
        <v>353</v>
      </c>
      <c r="C226" s="36"/>
      <c r="D226" s="36" t="s">
        <v>72</v>
      </c>
      <c r="E226" s="36" t="s">
        <v>292</v>
      </c>
      <c r="F226" s="36">
        <v>12</v>
      </c>
      <c r="G226" s="36"/>
      <c r="H226" s="36"/>
      <c r="I226" s="36"/>
      <c r="J226" s="36">
        <v>38</v>
      </c>
      <c r="K226" s="36"/>
      <c r="L226" s="36"/>
      <c r="M226" s="36"/>
      <c r="N226" s="36">
        <v>3</v>
      </c>
      <c r="O226" s="36">
        <v>0</v>
      </c>
      <c r="P226" s="36">
        <v>3</v>
      </c>
      <c r="Q226" s="36" t="s">
        <v>181</v>
      </c>
      <c r="R226" s="36" t="s">
        <v>208</v>
      </c>
      <c r="S226" s="36" t="s">
        <v>177</v>
      </c>
      <c r="T226" s="36" t="s">
        <v>212</v>
      </c>
      <c r="U226" s="3" t="s">
        <v>171</v>
      </c>
      <c r="V226" s="3" t="s">
        <v>172</v>
      </c>
      <c r="W226" s="3"/>
      <c r="X226" s="3"/>
      <c r="Y226" s="36" t="str">
        <f>HYPERLINK("http://www.stromypodkontrolou.cz/map/?draw_selection_circle=1#%7B%22lat%22%3A%2049.6786105362383%2C%20%22lng%22%3A%2018.6851748724103%2C%20%22zoom%22%3A%2020%7D")</f>
        <v>http://www.stromypodkontrolou.cz/map/?draw_selection_circle=1#%7B%22lat%22%3A%2049.6786105362383%2C%20%22lng%22%3A%2018.6851748724103%2C%20%22zoom%22%3A%2020%7D</v>
      </c>
    </row>
    <row r="227" spans="1:25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" t="s">
        <v>169</v>
      </c>
      <c r="V227" s="3" t="s">
        <v>170</v>
      </c>
      <c r="W227" s="3"/>
      <c r="X227" s="3"/>
      <c r="Y227" s="36"/>
    </row>
    <row r="228" spans="1:25" ht="12.75">
      <c r="A228" s="36" t="s">
        <v>12</v>
      </c>
      <c r="B228" s="36">
        <v>417</v>
      </c>
      <c r="C228" s="36"/>
      <c r="D228" s="36" t="s">
        <v>24</v>
      </c>
      <c r="E228" s="36" t="s">
        <v>200</v>
      </c>
      <c r="F228" s="36">
        <v>14</v>
      </c>
      <c r="G228" s="36">
        <v>11</v>
      </c>
      <c r="H228" s="36">
        <v>11</v>
      </c>
      <c r="I228" s="36"/>
      <c r="J228" s="36">
        <v>44</v>
      </c>
      <c r="K228" s="36">
        <v>35</v>
      </c>
      <c r="L228" s="36">
        <v>35</v>
      </c>
      <c r="M228" s="36"/>
      <c r="N228" s="36">
        <v>16</v>
      </c>
      <c r="O228" s="36">
        <v>1</v>
      </c>
      <c r="P228" s="36">
        <v>8</v>
      </c>
      <c r="Q228" s="36" t="s">
        <v>166</v>
      </c>
      <c r="R228" s="36" t="s">
        <v>239</v>
      </c>
      <c r="S228" s="36" t="s">
        <v>177</v>
      </c>
      <c r="T228" s="36" t="s">
        <v>212</v>
      </c>
      <c r="U228" s="3" t="s">
        <v>169</v>
      </c>
      <c r="V228" s="3" t="s">
        <v>170</v>
      </c>
      <c r="W228" s="3"/>
      <c r="X228" s="3"/>
      <c r="Y228" s="36" t="str">
        <f>HYPERLINK("http://www.stromypodkontrolou.cz/map/?draw_selection_circle=1#%7B%22lat%22%3A%2049.6773936882439%2C%20%22lng%22%3A%2018.6879937759761%2C%20%22zoom%22%3A%2020%7D")</f>
        <v>http://www.stromypodkontrolou.cz/map/?draw_selection_circle=1#%7B%22lat%22%3A%2049.6773936882439%2C%20%22lng%22%3A%2018.6879937759761%2C%20%22zoom%22%3A%2020%7D</v>
      </c>
    </row>
    <row r="229" spans="1:25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" t="s">
        <v>171</v>
      </c>
      <c r="V229" s="3" t="s">
        <v>172</v>
      </c>
      <c r="W229" s="3"/>
      <c r="X229" s="3"/>
      <c r="Y229" s="36"/>
    </row>
    <row r="230" spans="1:25" ht="12.75">
      <c r="A230" s="36" t="s">
        <v>12</v>
      </c>
      <c r="B230" s="36">
        <v>435</v>
      </c>
      <c r="C230" s="36"/>
      <c r="D230" s="36" t="s">
        <v>14</v>
      </c>
      <c r="E230" s="36" t="s">
        <v>180</v>
      </c>
      <c r="F230" s="36">
        <v>7</v>
      </c>
      <c r="G230" s="36"/>
      <c r="H230" s="36"/>
      <c r="I230" s="36"/>
      <c r="J230" s="36">
        <v>22</v>
      </c>
      <c r="K230" s="36"/>
      <c r="L230" s="36"/>
      <c r="M230" s="36"/>
      <c r="N230" s="36">
        <v>5</v>
      </c>
      <c r="O230" s="36">
        <v>2</v>
      </c>
      <c r="P230" s="36">
        <v>2</v>
      </c>
      <c r="Q230" s="36" t="s">
        <v>179</v>
      </c>
      <c r="R230" s="36" t="s">
        <v>360</v>
      </c>
      <c r="S230" s="36" t="s">
        <v>177</v>
      </c>
      <c r="T230" s="36" t="s">
        <v>212</v>
      </c>
      <c r="U230" s="3" t="s">
        <v>169</v>
      </c>
      <c r="V230" s="3" t="s">
        <v>170</v>
      </c>
      <c r="W230" s="3"/>
      <c r="X230" s="3"/>
      <c r="Y230" s="36" t="str">
        <f>HYPERLINK("http://www.stromypodkontrolou.cz/map/?draw_selection_circle=1#%7B%22lat%22%3A%2049.6776493996568%2C%20%22lng%22%3A%2018.6879186325051%2C%20%22zoom%22%3A%2020%7D")</f>
        <v>http://www.stromypodkontrolou.cz/map/?draw_selection_circle=1#%7B%22lat%22%3A%2049.6776493996568%2C%20%22lng%22%3A%2018.6879186325051%2C%20%22zoom%22%3A%2020%7D</v>
      </c>
    </row>
    <row r="231" spans="1:25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" t="s">
        <v>171</v>
      </c>
      <c r="V231" s="3" t="s">
        <v>172</v>
      </c>
      <c r="W231" s="3"/>
      <c r="X231" s="3"/>
      <c r="Y231" s="36"/>
    </row>
    <row r="232" spans="1:25" ht="12.75">
      <c r="A232" s="36" t="s">
        <v>12</v>
      </c>
      <c r="B232" s="36">
        <v>436</v>
      </c>
      <c r="C232" s="36"/>
      <c r="D232" s="36" t="s">
        <v>15</v>
      </c>
      <c r="E232" s="36" t="s">
        <v>183</v>
      </c>
      <c r="F232" s="36">
        <v>3</v>
      </c>
      <c r="G232" s="36"/>
      <c r="H232" s="36"/>
      <c r="I232" s="36"/>
      <c r="J232" s="36">
        <v>9</v>
      </c>
      <c r="K232" s="36"/>
      <c r="L232" s="36"/>
      <c r="M232" s="36"/>
      <c r="N232" s="36">
        <v>4</v>
      </c>
      <c r="O232" s="36">
        <v>1</v>
      </c>
      <c r="P232" s="36">
        <v>2</v>
      </c>
      <c r="Q232" s="36" t="s">
        <v>179</v>
      </c>
      <c r="R232" s="36" t="s">
        <v>196</v>
      </c>
      <c r="S232" s="36" t="s">
        <v>177</v>
      </c>
      <c r="T232" s="36" t="s">
        <v>212</v>
      </c>
      <c r="U232" s="3" t="s">
        <v>171</v>
      </c>
      <c r="V232" s="3" t="s">
        <v>172</v>
      </c>
      <c r="W232" s="3"/>
      <c r="X232" s="3"/>
      <c r="Y232" s="36" t="str">
        <f>HYPERLINK("http://www.stromypodkontrolou.cz/map/?draw_selection_circle=1#%7B%22lat%22%3A%2049.6776595617857%2C%20%22lng%22%3A%2018.6879302575119%2C%20%22zoom%22%3A%2020%7D")</f>
        <v>http://www.stromypodkontrolou.cz/map/?draw_selection_circle=1#%7B%22lat%22%3A%2049.6776595617857%2C%20%22lng%22%3A%2018.6879302575119%2C%20%22zoom%22%3A%2020%7D</v>
      </c>
    </row>
    <row r="233" spans="1:25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" t="s">
        <v>169</v>
      </c>
      <c r="V233" s="3" t="s">
        <v>170</v>
      </c>
      <c r="W233" s="3"/>
      <c r="X233" s="3"/>
      <c r="Y233" s="36"/>
    </row>
    <row r="234" spans="1:25" ht="12.75">
      <c r="A234" s="36" t="s">
        <v>12</v>
      </c>
      <c r="B234" s="36">
        <v>432</v>
      </c>
      <c r="C234" s="36"/>
      <c r="D234" s="36" t="s">
        <v>41</v>
      </c>
      <c r="E234" s="36" t="s">
        <v>238</v>
      </c>
      <c r="F234" s="36">
        <v>20</v>
      </c>
      <c r="G234" s="36">
        <v>18</v>
      </c>
      <c r="H234" s="36"/>
      <c r="I234" s="36"/>
      <c r="J234" s="36">
        <v>63</v>
      </c>
      <c r="K234" s="36">
        <v>57</v>
      </c>
      <c r="L234" s="36"/>
      <c r="M234" s="36"/>
      <c r="N234" s="36">
        <v>12</v>
      </c>
      <c r="O234" s="36">
        <v>3</v>
      </c>
      <c r="P234" s="36">
        <v>8</v>
      </c>
      <c r="Q234" s="36" t="s">
        <v>166</v>
      </c>
      <c r="R234" s="36" t="s">
        <v>196</v>
      </c>
      <c r="S234" s="36" t="s">
        <v>177</v>
      </c>
      <c r="T234" s="36" t="s">
        <v>212</v>
      </c>
      <c r="U234" s="3" t="s">
        <v>171</v>
      </c>
      <c r="V234" s="3" t="s">
        <v>172</v>
      </c>
      <c r="W234" s="3"/>
      <c r="X234" s="3"/>
      <c r="Y234" s="36" t="str">
        <f>HYPERLINK("http://www.stromypodkontrolou.cz/map/?draw_selection_circle=1#%7B%22lat%22%3A%2049.6776608567311%2C%20%22lng%22%3A%2018.687977954003%2C%20%22zoom%22%3A%2020%7D")</f>
        <v>http://www.stromypodkontrolou.cz/map/?draw_selection_circle=1#%7B%22lat%22%3A%2049.6776608567311%2C%20%22lng%22%3A%2018.687977954003%2C%20%22zoom%22%3A%2020%7D</v>
      </c>
    </row>
    <row r="235" spans="1:25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" t="s">
        <v>191</v>
      </c>
      <c r="V235" s="3" t="s">
        <v>192</v>
      </c>
      <c r="W235" s="3"/>
      <c r="X235" s="3"/>
      <c r="Y235" s="36"/>
    </row>
    <row r="236" spans="1:25" ht="12.75">
      <c r="A236" s="3" t="s">
        <v>12</v>
      </c>
      <c r="B236" s="3">
        <v>478</v>
      </c>
      <c r="C236" s="3"/>
      <c r="D236" s="3" t="s">
        <v>24</v>
      </c>
      <c r="E236" s="3" t="s">
        <v>200</v>
      </c>
      <c r="F236" s="3">
        <v>14</v>
      </c>
      <c r="G236" s="3">
        <v>13</v>
      </c>
      <c r="H236" s="3">
        <v>10</v>
      </c>
      <c r="I236" s="3"/>
      <c r="J236" s="3">
        <v>44</v>
      </c>
      <c r="K236" s="3">
        <v>41</v>
      </c>
      <c r="L236" s="3">
        <v>31</v>
      </c>
      <c r="M236" s="3"/>
      <c r="N236" s="3">
        <v>9</v>
      </c>
      <c r="O236" s="3">
        <v>2</v>
      </c>
      <c r="P236" s="3">
        <v>5</v>
      </c>
      <c r="Q236" s="3" t="s">
        <v>166</v>
      </c>
      <c r="R236" s="3" t="s">
        <v>196</v>
      </c>
      <c r="S236" s="3" t="s">
        <v>177</v>
      </c>
      <c r="T236" s="3" t="s">
        <v>361</v>
      </c>
      <c r="U236" s="3" t="s">
        <v>169</v>
      </c>
      <c r="V236" s="3" t="s">
        <v>170</v>
      </c>
      <c r="W236" s="3"/>
      <c r="X236" s="3"/>
      <c r="Y236" s="3" t="str">
        <f>HYPERLINK("http://www.stromypodkontrolou.cz/map/?draw_selection_circle=1#%7B%22lat%22%3A%2049.6781577592%2C%20%22lng%22%3A%2018.6874210061%2C%20%22zoom%22%3A%2020%7D")</f>
        <v>http://www.stromypodkontrolou.cz/map/?draw_selection_circle=1#%7B%22lat%22%3A%2049.6781577592%2C%20%22lng%22%3A%2018.6874210061%2C%20%22zoom%22%3A%2020%7D</v>
      </c>
    </row>
    <row r="237" spans="1:25" ht="12.75">
      <c r="A237" s="36" t="s">
        <v>43</v>
      </c>
      <c r="B237" s="36">
        <v>58</v>
      </c>
      <c r="C237" s="36"/>
      <c r="D237" s="36" t="s">
        <v>111</v>
      </c>
      <c r="E237" s="36" t="s">
        <v>362</v>
      </c>
      <c r="F237" s="36">
        <v>12</v>
      </c>
      <c r="G237" s="36"/>
      <c r="H237" s="36"/>
      <c r="I237" s="36"/>
      <c r="J237" s="36">
        <v>38</v>
      </c>
      <c r="K237" s="36"/>
      <c r="L237" s="36"/>
      <c r="M237" s="36"/>
      <c r="N237" s="36">
        <v>4</v>
      </c>
      <c r="O237" s="36">
        <v>2</v>
      </c>
      <c r="P237" s="36">
        <v>4</v>
      </c>
      <c r="Q237" s="36" t="s">
        <v>181</v>
      </c>
      <c r="R237" s="36" t="s">
        <v>363</v>
      </c>
      <c r="S237" s="36" t="s">
        <v>7</v>
      </c>
      <c r="T237" s="36" t="s">
        <v>244</v>
      </c>
      <c r="U237" s="3" t="s">
        <v>169</v>
      </c>
      <c r="V237" s="3" t="s">
        <v>170</v>
      </c>
      <c r="W237" s="3"/>
      <c r="X237" s="3"/>
      <c r="Y237" s="36" t="str">
        <f>HYPERLINK("http://www.stromypodkontrolou.cz/map/?draw_selection_circle=1#%7B%22lat%22%3A%2049.6755773606729%2C%20%22lng%22%3A%2018.6696820714346%2C%20%22zoom%22%3A%2020%7D")</f>
        <v>http://www.stromypodkontrolou.cz/map/?draw_selection_circle=1#%7B%22lat%22%3A%2049.6755773606729%2C%20%22lng%22%3A%2018.6696820714346%2C%20%22zoom%22%3A%2020%7D</v>
      </c>
    </row>
    <row r="238" spans="1:25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" t="s">
        <v>171</v>
      </c>
      <c r="V238" s="3" t="s">
        <v>172</v>
      </c>
      <c r="W238" s="3"/>
      <c r="X238" s="3"/>
      <c r="Y238" s="36"/>
    </row>
    <row r="239" spans="1:25" ht="12.75">
      <c r="A239" s="36" t="s">
        <v>43</v>
      </c>
      <c r="B239" s="36">
        <v>122</v>
      </c>
      <c r="C239" s="36"/>
      <c r="D239" s="36" t="s">
        <v>27</v>
      </c>
      <c r="E239" s="36" t="s">
        <v>204</v>
      </c>
      <c r="F239" s="36">
        <v>9</v>
      </c>
      <c r="G239" s="36"/>
      <c r="H239" s="36"/>
      <c r="I239" s="36"/>
      <c r="J239" s="36">
        <v>28</v>
      </c>
      <c r="K239" s="36"/>
      <c r="L239" s="36"/>
      <c r="M239" s="36"/>
      <c r="N239" s="36">
        <v>7</v>
      </c>
      <c r="O239" s="36">
        <v>0</v>
      </c>
      <c r="P239" s="36">
        <v>3</v>
      </c>
      <c r="Q239" s="36" t="s">
        <v>166</v>
      </c>
      <c r="R239" s="36" t="s">
        <v>196</v>
      </c>
      <c r="S239" s="36" t="s">
        <v>7</v>
      </c>
      <c r="T239" s="36" t="s">
        <v>244</v>
      </c>
      <c r="U239" s="3" t="s">
        <v>169</v>
      </c>
      <c r="V239" s="3" t="s">
        <v>170</v>
      </c>
      <c r="W239" s="3"/>
      <c r="X239" s="3"/>
      <c r="Y239" s="36" t="str">
        <f>HYPERLINK("http://www.stromypodkontrolou.cz/map/?draw_selection_circle=1#%7B%22lat%22%3A%2049.6754860422048%2C%20%22lng%22%3A%2018.6689499379246%2C%20%22zoom%22%3A%2020%7D")</f>
        <v>http://www.stromypodkontrolou.cz/map/?draw_selection_circle=1#%7B%22lat%22%3A%2049.6754860422048%2C%20%22lng%22%3A%2018.6689499379246%2C%20%22zoom%22%3A%2020%7D</v>
      </c>
    </row>
    <row r="240" spans="1:25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" t="s">
        <v>171</v>
      </c>
      <c r="V240" s="3" t="s">
        <v>172</v>
      </c>
      <c r="W240" s="3"/>
      <c r="X240" s="3"/>
      <c r="Y240" s="36"/>
    </row>
    <row r="241" spans="1:25" ht="12.75">
      <c r="A241" s="36" t="s">
        <v>43</v>
      </c>
      <c r="B241" s="36">
        <v>82</v>
      </c>
      <c r="C241" s="36"/>
      <c r="D241" s="36" t="s">
        <v>24</v>
      </c>
      <c r="E241" s="36" t="s">
        <v>200</v>
      </c>
      <c r="F241" s="36">
        <v>11</v>
      </c>
      <c r="G241" s="36"/>
      <c r="H241" s="36"/>
      <c r="I241" s="36"/>
      <c r="J241" s="36">
        <v>35</v>
      </c>
      <c r="K241" s="36"/>
      <c r="L241" s="36"/>
      <c r="M241" s="36"/>
      <c r="N241" s="36">
        <v>7</v>
      </c>
      <c r="O241" s="36">
        <v>2</v>
      </c>
      <c r="P241" s="36">
        <v>2</v>
      </c>
      <c r="Q241" s="36" t="s">
        <v>179</v>
      </c>
      <c r="R241" s="36"/>
      <c r="S241" s="36" t="s">
        <v>7</v>
      </c>
      <c r="T241" s="36" t="s">
        <v>244</v>
      </c>
      <c r="U241" s="3" t="s">
        <v>169</v>
      </c>
      <c r="V241" s="3" t="s">
        <v>170</v>
      </c>
      <c r="W241" s="3"/>
      <c r="X241" s="3"/>
      <c r="Y241" s="36" t="str">
        <f>HYPERLINK("http://www.stromypodkontrolou.cz/map/?draw_selection_circle=1#%7B%22lat%22%3A%2049.675222652%2C%20%22lng%22%3A%2018.6690536754%2C%20%22zoom%22%3A%2020%7D")</f>
        <v>http://www.stromypodkontrolou.cz/map/?draw_selection_circle=1#%7B%22lat%22%3A%2049.675222652%2C%20%22lng%22%3A%2018.6690536754%2C%20%22zoom%22%3A%2020%7D</v>
      </c>
    </row>
    <row r="242" spans="1:25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" t="s">
        <v>171</v>
      </c>
      <c r="V242" s="3" t="s">
        <v>172</v>
      </c>
      <c r="W242" s="3"/>
      <c r="X242" s="3"/>
      <c r="Y242" s="36"/>
    </row>
    <row r="243" spans="1:25" ht="12.75">
      <c r="A243" s="36" t="s">
        <v>43</v>
      </c>
      <c r="B243" s="36">
        <v>89</v>
      </c>
      <c r="C243" s="36"/>
      <c r="D243" s="36" t="s">
        <v>46</v>
      </c>
      <c r="E243" s="36" t="s">
        <v>248</v>
      </c>
      <c r="F243" s="36">
        <v>10</v>
      </c>
      <c r="G243" s="36"/>
      <c r="H243" s="36"/>
      <c r="I243" s="36"/>
      <c r="J243" s="36">
        <v>31</v>
      </c>
      <c r="K243" s="36"/>
      <c r="L243" s="36"/>
      <c r="M243" s="36"/>
      <c r="N243" s="36">
        <v>6</v>
      </c>
      <c r="O243" s="36">
        <v>2</v>
      </c>
      <c r="P243" s="36">
        <v>2</v>
      </c>
      <c r="Q243" s="36" t="s">
        <v>179</v>
      </c>
      <c r="R243" s="36"/>
      <c r="S243" s="36" t="s">
        <v>7</v>
      </c>
      <c r="T243" s="36" t="s">
        <v>244</v>
      </c>
      <c r="U243" s="3" t="s">
        <v>218</v>
      </c>
      <c r="V243" s="3" t="s">
        <v>219</v>
      </c>
      <c r="W243" s="3"/>
      <c r="X243" s="3"/>
      <c r="Y243" s="36" t="str">
        <f>HYPERLINK("http://www.stromypodkontrolou.cz/map/?draw_selection_circle=1#%7B%22lat%22%3A%2049.6751119713%2C%20%22lng%22%3A%2018.6694504357%2C%20%22zoom%22%3A%2020%7D")</f>
        <v>http://www.stromypodkontrolou.cz/map/?draw_selection_circle=1#%7B%22lat%22%3A%2049.6751119713%2C%20%22lng%22%3A%2018.6694504357%2C%20%22zoom%22%3A%2020%7D</v>
      </c>
    </row>
    <row r="244" spans="1:25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" t="s">
        <v>171</v>
      </c>
      <c r="V244" s="3" t="s">
        <v>172</v>
      </c>
      <c r="W244" s="3"/>
      <c r="X244" s="3"/>
      <c r="Y244" s="36"/>
    </row>
    <row r="245" spans="1:25" ht="12.75">
      <c r="A245" s="3" t="s">
        <v>56</v>
      </c>
      <c r="B245" s="3">
        <v>161</v>
      </c>
      <c r="C245" s="3"/>
      <c r="D245" s="3" t="s">
        <v>23</v>
      </c>
      <c r="E245" s="3" t="s">
        <v>198</v>
      </c>
      <c r="F245" s="3">
        <v>36</v>
      </c>
      <c r="G245" s="3"/>
      <c r="H245" s="3"/>
      <c r="I245" s="3"/>
      <c r="J245" s="3">
        <v>113</v>
      </c>
      <c r="K245" s="3"/>
      <c r="L245" s="3"/>
      <c r="M245" s="3"/>
      <c r="N245" s="3">
        <v>15</v>
      </c>
      <c r="O245" s="3">
        <v>6</v>
      </c>
      <c r="P245" s="3">
        <v>9</v>
      </c>
      <c r="Q245" s="3" t="s">
        <v>181</v>
      </c>
      <c r="R245" s="3" t="s">
        <v>364</v>
      </c>
      <c r="S245" s="3" t="s">
        <v>7</v>
      </c>
      <c r="T245" s="3" t="s">
        <v>263</v>
      </c>
      <c r="U245" s="3" t="s">
        <v>224</v>
      </c>
      <c r="V245" s="3" t="s">
        <v>225</v>
      </c>
      <c r="W245" s="3"/>
      <c r="X245" s="3"/>
      <c r="Y245" s="3" t="str">
        <f>HYPERLINK("http://www.stromypodkontrolou.cz/map/?draw_selection_circle=1#%7B%22lat%22%3A%2049.6727288948574%2C%20%22lng%22%3A%2018.6694482815676%2C%20%22zoom%22%3A%2020%7D")</f>
        <v>http://www.stromypodkontrolou.cz/map/?draw_selection_circle=1#%7B%22lat%22%3A%2049.6727288948574%2C%20%22lng%22%3A%2018.6694482815676%2C%20%22zoom%22%3A%2020%7D</v>
      </c>
    </row>
    <row r="246" spans="1:25" ht="12.75">
      <c r="A246" s="3" t="s">
        <v>56</v>
      </c>
      <c r="B246" s="3">
        <v>158</v>
      </c>
      <c r="C246" s="3"/>
      <c r="D246" s="3" t="s">
        <v>23</v>
      </c>
      <c r="E246" s="3" t="s">
        <v>198</v>
      </c>
      <c r="F246" s="3">
        <v>22</v>
      </c>
      <c r="G246" s="3"/>
      <c r="H246" s="3"/>
      <c r="I246" s="3"/>
      <c r="J246" s="3">
        <v>69</v>
      </c>
      <c r="K246" s="3"/>
      <c r="L246" s="3"/>
      <c r="M246" s="3"/>
      <c r="N246" s="3">
        <v>22</v>
      </c>
      <c r="O246" s="3">
        <v>17</v>
      </c>
      <c r="P246" s="3">
        <v>5</v>
      </c>
      <c r="Q246" s="3" t="s">
        <v>181</v>
      </c>
      <c r="R246" s="3" t="s">
        <v>226</v>
      </c>
      <c r="S246" s="3" t="s">
        <v>7</v>
      </c>
      <c r="T246" s="3" t="s">
        <v>263</v>
      </c>
      <c r="U246" s="3" t="s">
        <v>169</v>
      </c>
      <c r="V246" s="3" t="s">
        <v>170</v>
      </c>
      <c r="W246" s="3"/>
      <c r="X246" s="3"/>
      <c r="Y246" s="3" t="str">
        <f>HYPERLINK("http://www.stromypodkontrolou.cz/map/?draw_selection_circle=1#%7B%22lat%22%3A%2049.6727723650927%2C%20%22lng%22%3A%2018.6695257006542%2C%20%22zoom%22%3A%2020%7D")</f>
        <v>http://www.stromypodkontrolou.cz/map/?draw_selection_circle=1#%7B%22lat%22%3A%2049.6727723650927%2C%20%22lng%22%3A%2018.6695257006542%2C%20%22zoom%22%3A%2020%7D</v>
      </c>
    </row>
    <row r="247" spans="1:25" ht="12.75">
      <c r="A247" s="3" t="s">
        <v>56</v>
      </c>
      <c r="B247" s="3">
        <v>247</v>
      </c>
      <c r="C247" s="3"/>
      <c r="D247" s="3" t="s">
        <v>65</v>
      </c>
      <c r="E247" s="3" t="s">
        <v>280</v>
      </c>
      <c r="F247" s="3">
        <v>17</v>
      </c>
      <c r="G247" s="3"/>
      <c r="H247" s="3"/>
      <c r="I247" s="3"/>
      <c r="J247" s="3">
        <v>53</v>
      </c>
      <c r="K247" s="3"/>
      <c r="L247" s="3"/>
      <c r="M247" s="3"/>
      <c r="N247" s="3">
        <v>6</v>
      </c>
      <c r="O247" s="3">
        <v>1</v>
      </c>
      <c r="P247" s="3">
        <v>5</v>
      </c>
      <c r="Q247" s="3" t="s">
        <v>179</v>
      </c>
      <c r="R247" s="3" t="s">
        <v>365</v>
      </c>
      <c r="S247" s="3" t="s">
        <v>7</v>
      </c>
      <c r="T247" s="3" t="s">
        <v>263</v>
      </c>
      <c r="U247" s="3" t="s">
        <v>169</v>
      </c>
      <c r="V247" s="3" t="s">
        <v>170</v>
      </c>
      <c r="W247" s="3"/>
      <c r="X247" s="3"/>
      <c r="Y247" s="3" t="str">
        <f>HYPERLINK("http://www.stromypodkontrolou.cz/map/?draw_selection_circle=1#%7B%22lat%22%3A%2049.672823582%2C%20%22lng%22%3A%2018.6695333144%2C%20%22zoom%22%3A%2020%7D")</f>
        <v>http://www.stromypodkontrolou.cz/map/?draw_selection_circle=1#%7B%22lat%22%3A%2049.672823582%2C%20%22lng%22%3A%2018.6695333144%2C%20%22zoom%22%3A%2020%7D</v>
      </c>
    </row>
    <row r="248" spans="1:25" ht="12.75">
      <c r="A248" s="3" t="s">
        <v>56</v>
      </c>
      <c r="B248" s="3">
        <v>146</v>
      </c>
      <c r="C248" s="3"/>
      <c r="D248" s="3" t="s">
        <v>70</v>
      </c>
      <c r="E248" s="3" t="s">
        <v>285</v>
      </c>
      <c r="F248" s="3">
        <v>21</v>
      </c>
      <c r="G248" s="3"/>
      <c r="H248" s="3"/>
      <c r="I248" s="3"/>
      <c r="J248" s="3">
        <v>66</v>
      </c>
      <c r="K248" s="3"/>
      <c r="L248" s="3"/>
      <c r="M248" s="3"/>
      <c r="N248" s="3">
        <v>13</v>
      </c>
      <c r="O248" s="3">
        <v>3</v>
      </c>
      <c r="P248" s="3">
        <v>6</v>
      </c>
      <c r="Q248" s="3" t="s">
        <v>166</v>
      </c>
      <c r="R248" s="3" t="s">
        <v>366</v>
      </c>
      <c r="S248" s="3" t="s">
        <v>7</v>
      </c>
      <c r="T248" s="3" t="s">
        <v>263</v>
      </c>
      <c r="U248" s="3" t="s">
        <v>169</v>
      </c>
      <c r="V248" s="3" t="s">
        <v>170</v>
      </c>
      <c r="W248" s="3"/>
      <c r="X248" s="3"/>
      <c r="Y248" s="3" t="str">
        <f>HYPERLINK("http://www.stromypodkontrolou.cz/map/?draw_selection_circle=1#%7B%22lat%22%3A%2049.6728502378%2C%20%22lng%22%3A%2018.6693845584%2C%20%22zoom%22%3A%2020%7D")</f>
        <v>http://www.stromypodkontrolou.cz/map/?draw_selection_circle=1#%7B%22lat%22%3A%2049.6728502378%2C%20%22lng%22%3A%2018.6693845584%2C%20%22zoom%22%3A%2020%7D</v>
      </c>
    </row>
    <row r="249" spans="1:25" ht="12.75">
      <c r="A249" s="3" t="s">
        <v>56</v>
      </c>
      <c r="B249" s="3">
        <v>133</v>
      </c>
      <c r="C249" s="3"/>
      <c r="D249" s="3" t="s">
        <v>11</v>
      </c>
      <c r="E249" s="3" t="s">
        <v>173</v>
      </c>
      <c r="F249" s="3">
        <v>28</v>
      </c>
      <c r="G249" s="3"/>
      <c r="H249" s="3"/>
      <c r="I249" s="3"/>
      <c r="J249" s="3">
        <v>88</v>
      </c>
      <c r="K249" s="3"/>
      <c r="L249" s="3"/>
      <c r="M249" s="3"/>
      <c r="N249" s="3">
        <v>18</v>
      </c>
      <c r="O249" s="3">
        <v>2</v>
      </c>
      <c r="P249" s="3">
        <v>8</v>
      </c>
      <c r="Q249" s="3" t="s">
        <v>166</v>
      </c>
      <c r="R249" s="3" t="s">
        <v>196</v>
      </c>
      <c r="S249" s="3" t="s">
        <v>7</v>
      </c>
      <c r="T249" s="3" t="s">
        <v>263</v>
      </c>
      <c r="U249" s="3" t="s">
        <v>191</v>
      </c>
      <c r="V249" s="3" t="s">
        <v>192</v>
      </c>
      <c r="W249" s="3"/>
      <c r="X249" s="3"/>
      <c r="Y249" s="3" t="str">
        <f>HYPERLINK("http://www.stromypodkontrolou.cz/map/?draw_selection_circle=1#%7B%22lat%22%3A%2049.6731847842638%2C%20%22lng%22%3A%2018.6694430432585%2C%20%22zoom%22%3A%2020%7D")</f>
        <v>http://www.stromypodkontrolou.cz/map/?draw_selection_circle=1#%7B%22lat%22%3A%2049.6731847842638%2C%20%22lng%22%3A%2018.6694430432585%2C%20%22zoom%22%3A%2020%7D</v>
      </c>
    </row>
    <row r="250" spans="1:25" ht="12.75">
      <c r="A250" s="3" t="s">
        <v>56</v>
      </c>
      <c r="B250" s="3">
        <v>127</v>
      </c>
      <c r="C250" s="3"/>
      <c r="D250" s="3" t="s">
        <v>10</v>
      </c>
      <c r="E250" s="3" t="s">
        <v>165</v>
      </c>
      <c r="F250" s="3">
        <v>24</v>
      </c>
      <c r="G250" s="3"/>
      <c r="H250" s="3"/>
      <c r="I250" s="3"/>
      <c r="J250" s="3">
        <v>75</v>
      </c>
      <c r="K250" s="3"/>
      <c r="L250" s="3"/>
      <c r="M250" s="3"/>
      <c r="N250" s="3">
        <v>9</v>
      </c>
      <c r="O250" s="3">
        <v>1</v>
      </c>
      <c r="P250" s="3">
        <v>7</v>
      </c>
      <c r="Q250" s="3" t="s">
        <v>166</v>
      </c>
      <c r="R250" s="3" t="s">
        <v>367</v>
      </c>
      <c r="S250" s="3" t="s">
        <v>7</v>
      </c>
      <c r="T250" s="3" t="s">
        <v>263</v>
      </c>
      <c r="U250" s="3" t="s">
        <v>218</v>
      </c>
      <c r="V250" s="3" t="s">
        <v>219</v>
      </c>
      <c r="W250" s="3"/>
      <c r="X250" s="3"/>
      <c r="Y250" s="3" t="str">
        <f>HYPERLINK("http://www.stromypodkontrolou.cz/map/?draw_selection_circle=1#%7B%22lat%22%3A%2049.6732544669222%2C%20%22lng%22%3A%2018.6693796539627%2C%20%22zoom%22%3A%2020%7D")</f>
        <v>http://www.stromypodkontrolou.cz/map/?draw_selection_circle=1#%7B%22lat%22%3A%2049.6732544669222%2C%20%22lng%22%3A%2018.6693796539627%2C%20%22zoom%22%3A%2020%7D</v>
      </c>
    </row>
    <row r="251" spans="1:25" ht="12.75">
      <c r="A251" s="3" t="s">
        <v>56</v>
      </c>
      <c r="B251" s="3">
        <v>123</v>
      </c>
      <c r="C251" s="3"/>
      <c r="D251" s="3" t="s">
        <v>23</v>
      </c>
      <c r="E251" s="3" t="s">
        <v>198</v>
      </c>
      <c r="F251" s="3">
        <v>25</v>
      </c>
      <c r="G251" s="3"/>
      <c r="H251" s="3"/>
      <c r="I251" s="3"/>
      <c r="J251" s="3">
        <v>79</v>
      </c>
      <c r="K251" s="3"/>
      <c r="L251" s="3"/>
      <c r="M251" s="3"/>
      <c r="N251" s="3">
        <v>15</v>
      </c>
      <c r="O251" s="3">
        <v>4</v>
      </c>
      <c r="P251" s="3">
        <v>7</v>
      </c>
      <c r="Q251" s="3" t="s">
        <v>181</v>
      </c>
      <c r="R251" s="3" t="s">
        <v>368</v>
      </c>
      <c r="S251" s="3" t="s">
        <v>7</v>
      </c>
      <c r="T251" s="3" t="s">
        <v>263</v>
      </c>
      <c r="U251" s="3" t="s">
        <v>191</v>
      </c>
      <c r="V251" s="3" t="s">
        <v>192</v>
      </c>
      <c r="W251" s="3"/>
      <c r="X251" s="3"/>
      <c r="Y251" s="3" t="str">
        <f>HYPERLINK("http://www.stromypodkontrolou.cz/map/?draw_selection_circle=1#%7B%22lat%22%3A%2049.6732712926229%2C%20%22lng%22%3A%2018.6694272565585%2C%20%22zoom%22%3A%2020%7D")</f>
        <v>http://www.stromypodkontrolou.cz/map/?draw_selection_circle=1#%7B%22lat%22%3A%2049.6732712926229%2C%20%22lng%22%3A%2018.6694272565585%2C%20%22zoom%22%3A%2020%7D</v>
      </c>
    </row>
    <row r="252" spans="1:25" ht="12.75">
      <c r="A252" s="3" t="s">
        <v>56</v>
      </c>
      <c r="B252" s="3">
        <v>101</v>
      </c>
      <c r="C252" s="3"/>
      <c r="D252" s="3" t="s">
        <v>57</v>
      </c>
      <c r="E252" s="3" t="s">
        <v>261</v>
      </c>
      <c r="F252" s="3">
        <v>12</v>
      </c>
      <c r="G252" s="3">
        <v>10</v>
      </c>
      <c r="H252" s="3"/>
      <c r="I252" s="3"/>
      <c r="J252" s="3">
        <v>38</v>
      </c>
      <c r="K252" s="3">
        <v>31</v>
      </c>
      <c r="L252" s="3"/>
      <c r="M252" s="3"/>
      <c r="N252" s="3">
        <v>6</v>
      </c>
      <c r="O252" s="3">
        <v>1</v>
      </c>
      <c r="P252" s="3">
        <v>6</v>
      </c>
      <c r="Q252" s="3" t="s">
        <v>166</v>
      </c>
      <c r="R252" s="3" t="s">
        <v>369</v>
      </c>
      <c r="S252" s="3" t="s">
        <v>7</v>
      </c>
      <c r="T252" s="3" t="s">
        <v>263</v>
      </c>
      <c r="U252" s="3" t="s">
        <v>169</v>
      </c>
      <c r="V252" s="3" t="s">
        <v>170</v>
      </c>
      <c r="W252" s="3"/>
      <c r="X252" s="3"/>
      <c r="Y252" s="3" t="str">
        <f>HYPERLINK("http://www.stromypodkontrolou.cz/map/?draw_selection_circle=1#%7B%22lat%22%3A%2049.673608179738%2C%20%22lng%22%3A%2018.6693311782204%2C%20%22zoom%22%3A%2020%7D")</f>
        <v>http://www.stromypodkontrolou.cz/map/?draw_selection_circle=1#%7B%22lat%22%3A%2049.673608179738%2C%20%22lng%22%3A%2018.6693311782204%2C%20%22zoom%22%3A%2020%7D</v>
      </c>
    </row>
    <row r="253" spans="1:25" ht="12.75">
      <c r="A253" s="3" t="s">
        <v>56</v>
      </c>
      <c r="B253" s="3">
        <v>94</v>
      </c>
      <c r="C253" s="3"/>
      <c r="D253" s="3" t="s">
        <v>11</v>
      </c>
      <c r="E253" s="3" t="s">
        <v>173</v>
      </c>
      <c r="F253" s="3">
        <v>16</v>
      </c>
      <c r="G253" s="3"/>
      <c r="H253" s="3"/>
      <c r="I253" s="3"/>
      <c r="J253" s="3">
        <v>50</v>
      </c>
      <c r="K253" s="3"/>
      <c r="L253" s="3"/>
      <c r="M253" s="3"/>
      <c r="N253" s="3">
        <v>13</v>
      </c>
      <c r="O253" s="3">
        <v>9</v>
      </c>
      <c r="P253" s="3">
        <v>4</v>
      </c>
      <c r="Q253" s="3" t="s">
        <v>181</v>
      </c>
      <c r="R253" s="3" t="s">
        <v>296</v>
      </c>
      <c r="S253" s="3" t="s">
        <v>7</v>
      </c>
      <c r="T253" s="3" t="s">
        <v>263</v>
      </c>
      <c r="U253" s="3" t="s">
        <v>218</v>
      </c>
      <c r="V253" s="3" t="s">
        <v>219</v>
      </c>
      <c r="W253" s="3"/>
      <c r="X253" s="3"/>
      <c r="Y253" s="3" t="str">
        <f>HYPERLINK("http://www.stromypodkontrolou.cz/map/?draw_selection_circle=1#%7B%22lat%22%3A%2049.6737062215063%2C%20%22lng%22%3A%2018.6693210484809%2C%20%22zoom%22%3A%2020%7D")</f>
        <v>http://www.stromypodkontrolou.cz/map/?draw_selection_circle=1#%7B%22lat%22%3A%2049.6737062215063%2C%20%22lng%22%3A%2018.6693210484809%2C%20%22zoom%22%3A%2020%7D</v>
      </c>
    </row>
    <row r="254" spans="1:25" ht="12.75">
      <c r="A254" s="3" t="s">
        <v>56</v>
      </c>
      <c r="B254" s="3">
        <v>88</v>
      </c>
      <c r="C254" s="3"/>
      <c r="D254" s="3" t="s">
        <v>15</v>
      </c>
      <c r="E254" s="3" t="s">
        <v>183</v>
      </c>
      <c r="F254" s="3">
        <v>16</v>
      </c>
      <c r="G254" s="3"/>
      <c r="H254" s="3"/>
      <c r="I254" s="3"/>
      <c r="J254" s="3">
        <v>50</v>
      </c>
      <c r="K254" s="3"/>
      <c r="L254" s="3"/>
      <c r="M254" s="3"/>
      <c r="N254" s="3">
        <v>16</v>
      </c>
      <c r="O254" s="3">
        <v>2</v>
      </c>
      <c r="P254" s="3">
        <v>5</v>
      </c>
      <c r="Q254" s="3" t="s">
        <v>179</v>
      </c>
      <c r="R254" s="3" t="s">
        <v>196</v>
      </c>
      <c r="S254" s="3" t="s">
        <v>7</v>
      </c>
      <c r="T254" s="3" t="s">
        <v>263</v>
      </c>
      <c r="U254" s="3" t="s">
        <v>169</v>
      </c>
      <c r="V254" s="3" t="s">
        <v>170</v>
      </c>
      <c r="W254" s="3"/>
      <c r="X254" s="3"/>
      <c r="Y254" s="3" t="str">
        <f>HYPERLINK("http://www.stromypodkontrolou.cz/map/?draw_selection_circle=1#%7B%22lat%22%3A%2049.6738673105%2C%20%22lng%22%3A%2018.6693414673%2C%20%22zoom%22%3A%2020%7D")</f>
        <v>http://www.stromypodkontrolou.cz/map/?draw_selection_circle=1#%7B%22lat%22%3A%2049.6738673105%2C%20%22lng%22%3A%2018.6693414673%2C%20%22zoom%22%3A%2020%7D</v>
      </c>
    </row>
    <row r="255" spans="1:25" ht="12.75">
      <c r="A255" s="3" t="s">
        <v>56</v>
      </c>
      <c r="B255" s="3">
        <v>84</v>
      </c>
      <c r="C255" s="3"/>
      <c r="D255" s="3" t="s">
        <v>10</v>
      </c>
      <c r="E255" s="3" t="s">
        <v>165</v>
      </c>
      <c r="F255" s="3">
        <v>16</v>
      </c>
      <c r="G255" s="3"/>
      <c r="H255" s="3"/>
      <c r="I255" s="3"/>
      <c r="J255" s="3">
        <v>50</v>
      </c>
      <c r="K255" s="3"/>
      <c r="L255" s="3"/>
      <c r="M255" s="3"/>
      <c r="N255" s="3">
        <v>9</v>
      </c>
      <c r="O255" s="3">
        <v>2</v>
      </c>
      <c r="P255" s="3">
        <v>5</v>
      </c>
      <c r="Q255" s="3" t="s">
        <v>166</v>
      </c>
      <c r="R255" s="3" t="s">
        <v>370</v>
      </c>
      <c r="S255" s="3" t="s">
        <v>7</v>
      </c>
      <c r="T255" s="3" t="s">
        <v>263</v>
      </c>
      <c r="U255" s="3" t="s">
        <v>169</v>
      </c>
      <c r="V255" s="3" t="s">
        <v>170</v>
      </c>
      <c r="W255" s="3"/>
      <c r="X255" s="3"/>
      <c r="Y255" s="3" t="str">
        <f>HYPERLINK("http://www.stromypodkontrolou.cz/map/?draw_selection_circle=1#%7B%22lat%22%3A%2049.6739335378%2C%20%22lng%22%3A%2018.6693516397%2C%20%22zoom%22%3A%2020%7D")</f>
        <v>http://www.stromypodkontrolou.cz/map/?draw_selection_circle=1#%7B%22lat%22%3A%2049.6739335378%2C%20%22lng%22%3A%2018.6693516397%2C%20%22zoom%22%3A%2020%7D</v>
      </c>
    </row>
    <row r="256" spans="1:25" ht="12.75">
      <c r="A256" s="3" t="s">
        <v>56</v>
      </c>
      <c r="B256" s="3">
        <v>79</v>
      </c>
      <c r="C256" s="3"/>
      <c r="D256" s="3" t="s">
        <v>11</v>
      </c>
      <c r="E256" s="3" t="s">
        <v>173</v>
      </c>
      <c r="F256" s="3">
        <v>7</v>
      </c>
      <c r="G256" s="3"/>
      <c r="H256" s="3"/>
      <c r="I256" s="3"/>
      <c r="J256" s="3">
        <v>22</v>
      </c>
      <c r="K256" s="3"/>
      <c r="L256" s="3"/>
      <c r="M256" s="3"/>
      <c r="N256" s="3">
        <v>6</v>
      </c>
      <c r="O256" s="3">
        <v>2</v>
      </c>
      <c r="P256" s="3">
        <v>3</v>
      </c>
      <c r="Q256" s="3" t="s">
        <v>181</v>
      </c>
      <c r="R256" s="3" t="s">
        <v>196</v>
      </c>
      <c r="S256" s="3" t="s">
        <v>7</v>
      </c>
      <c r="T256" s="3" t="s">
        <v>263</v>
      </c>
      <c r="U256" s="3" t="s">
        <v>169</v>
      </c>
      <c r="V256" s="3" t="s">
        <v>170</v>
      </c>
      <c r="W256" s="3"/>
      <c r="X256" s="3"/>
      <c r="Y256" s="3" t="str">
        <f>HYPERLINK("http://www.stromypodkontrolou.cz/map/?draw_selection_circle=1#%7B%22lat%22%3A%2049.6739719532607%2C%20%22lng%22%3A%2018.6693321633646%2C%20%22zoom%22%3A%2020%7D")</f>
        <v>http://www.stromypodkontrolou.cz/map/?draw_selection_circle=1#%7B%22lat%22%3A%2049.6739719532607%2C%20%22lng%22%3A%2018.6693321633646%2C%20%22zoom%22%3A%2020%7D</v>
      </c>
    </row>
    <row r="257" spans="1:25" ht="12.75">
      <c r="A257" s="3" t="s">
        <v>56</v>
      </c>
      <c r="B257" s="3">
        <v>74</v>
      </c>
      <c r="C257" s="3"/>
      <c r="D257" s="3" t="s">
        <v>23</v>
      </c>
      <c r="E257" s="3" t="s">
        <v>198</v>
      </c>
      <c r="F257" s="3">
        <v>23</v>
      </c>
      <c r="G257" s="3"/>
      <c r="H257" s="3"/>
      <c r="I257" s="3"/>
      <c r="J257" s="3">
        <v>72</v>
      </c>
      <c r="K257" s="3"/>
      <c r="L257" s="3"/>
      <c r="M257" s="3"/>
      <c r="N257" s="3">
        <v>13</v>
      </c>
      <c r="O257" s="3">
        <v>2</v>
      </c>
      <c r="P257" s="3">
        <v>4</v>
      </c>
      <c r="Q257" s="3" t="s">
        <v>181</v>
      </c>
      <c r="R257" s="3" t="s">
        <v>196</v>
      </c>
      <c r="S257" s="3" t="s">
        <v>7</v>
      </c>
      <c r="T257" s="3" t="s">
        <v>263</v>
      </c>
      <c r="U257" s="3" t="s">
        <v>218</v>
      </c>
      <c r="V257" s="3" t="s">
        <v>219</v>
      </c>
      <c r="W257" s="3"/>
      <c r="X257" s="3"/>
      <c r="Y257" s="3" t="str">
        <f>HYPERLINK("http://www.stromypodkontrolou.cz/map/?draw_selection_circle=1#%7B%22lat%22%3A%2049.6740526329241%2C%20%22lng%22%3A%2018.6693902341851%2C%20%22zoom%22%3A%2020%7D")</f>
        <v>http://www.stromypodkontrolou.cz/map/?draw_selection_circle=1#%7B%22lat%22%3A%2049.6740526329241%2C%20%22lng%22%3A%2018.6693902341851%2C%20%22zoom%22%3A%2020%7D</v>
      </c>
    </row>
    <row r="258" spans="1:25" ht="12.75">
      <c r="A258" s="36" t="s">
        <v>56</v>
      </c>
      <c r="B258" s="36">
        <v>60</v>
      </c>
      <c r="C258" s="36"/>
      <c r="D258" s="36" t="s">
        <v>11</v>
      </c>
      <c r="E258" s="36" t="s">
        <v>173</v>
      </c>
      <c r="F258" s="36">
        <v>24</v>
      </c>
      <c r="G258" s="36"/>
      <c r="H258" s="36"/>
      <c r="I258" s="36"/>
      <c r="J258" s="36">
        <v>75</v>
      </c>
      <c r="K258" s="36"/>
      <c r="L258" s="36"/>
      <c r="M258" s="36"/>
      <c r="N258" s="36">
        <v>19</v>
      </c>
      <c r="O258" s="36">
        <v>5</v>
      </c>
      <c r="P258" s="36">
        <v>6</v>
      </c>
      <c r="Q258" s="36" t="s">
        <v>179</v>
      </c>
      <c r="R258" s="36" t="s">
        <v>196</v>
      </c>
      <c r="S258" s="36" t="s">
        <v>7</v>
      </c>
      <c r="T258" s="36" t="s">
        <v>263</v>
      </c>
      <c r="U258" s="3" t="s">
        <v>171</v>
      </c>
      <c r="V258" s="3" t="s">
        <v>172</v>
      </c>
      <c r="W258" s="3"/>
      <c r="X258" s="3"/>
      <c r="Y258" s="36" t="str">
        <f>HYPERLINK("http://www.stromypodkontrolou.cz/map/?draw_selection_circle=1#%7B%22lat%22%3A%2049.6739723784627%2C%20%22lng%22%3A%2018.6695456147303%2C%20%22zoom%22%3A%2020%7D")</f>
        <v>http://www.stromypodkontrolou.cz/map/?draw_selection_circle=1#%7B%22lat%22%3A%2049.6739723784627%2C%20%22lng%22%3A%2018.6695456147303%2C%20%22zoom%22%3A%2020%7D</v>
      </c>
    </row>
    <row r="259" spans="1:25" ht="12.7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" t="s">
        <v>169</v>
      </c>
      <c r="V259" s="3" t="s">
        <v>170</v>
      </c>
      <c r="W259" s="3"/>
      <c r="X259" s="3"/>
      <c r="Y259" s="36"/>
    </row>
    <row r="260" spans="1:25" ht="12.75">
      <c r="A260" s="36" t="s">
        <v>56</v>
      </c>
      <c r="B260" s="36">
        <v>59</v>
      </c>
      <c r="C260" s="36"/>
      <c r="D260" s="36" t="s">
        <v>23</v>
      </c>
      <c r="E260" s="36" t="s">
        <v>198</v>
      </c>
      <c r="F260" s="36">
        <v>25</v>
      </c>
      <c r="G260" s="36">
        <v>22</v>
      </c>
      <c r="H260" s="36"/>
      <c r="I260" s="36"/>
      <c r="J260" s="36">
        <v>79</v>
      </c>
      <c r="K260" s="36">
        <v>69</v>
      </c>
      <c r="L260" s="36"/>
      <c r="M260" s="36"/>
      <c r="N260" s="36">
        <v>17</v>
      </c>
      <c r="O260" s="36">
        <v>5</v>
      </c>
      <c r="P260" s="36">
        <v>7</v>
      </c>
      <c r="Q260" s="36" t="s">
        <v>181</v>
      </c>
      <c r="R260" s="36" t="s">
        <v>371</v>
      </c>
      <c r="S260" s="36" t="s">
        <v>7</v>
      </c>
      <c r="T260" s="36" t="s">
        <v>263</v>
      </c>
      <c r="U260" s="3" t="s">
        <v>171</v>
      </c>
      <c r="V260" s="3" t="s">
        <v>172</v>
      </c>
      <c r="W260" s="3"/>
      <c r="X260" s="3"/>
      <c r="Y260" s="36" t="str">
        <f>HYPERLINK("http://www.stromypodkontrolou.cz/map/?draw_selection_circle=1#%7B%22lat%22%3A%2049.6739424430369%2C%20%22lng%22%3A%2018.6695898281873%2C%20%22zoom%22%3A%2020%7D")</f>
        <v>http://www.stromypodkontrolou.cz/map/?draw_selection_circle=1#%7B%22lat%22%3A%2049.6739424430369%2C%20%22lng%22%3A%2018.6695898281873%2C%20%22zoom%22%3A%2020%7D</v>
      </c>
    </row>
    <row r="261" spans="1:25" ht="12.7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" t="s">
        <v>218</v>
      </c>
      <c r="V261" s="3" t="s">
        <v>219</v>
      </c>
      <c r="W261" s="3"/>
      <c r="X261" s="3"/>
      <c r="Y261" s="36"/>
    </row>
    <row r="262" spans="1:25" ht="12.75">
      <c r="A262" s="36" t="s">
        <v>56</v>
      </c>
      <c r="B262" s="36">
        <v>54</v>
      </c>
      <c r="C262" s="36"/>
      <c r="D262" s="36" t="s">
        <v>23</v>
      </c>
      <c r="E262" s="36" t="s">
        <v>198</v>
      </c>
      <c r="F262" s="36">
        <v>24</v>
      </c>
      <c r="G262" s="36">
        <v>22</v>
      </c>
      <c r="H262" s="36">
        <v>20</v>
      </c>
      <c r="I262" s="36">
        <v>20</v>
      </c>
      <c r="J262" s="36">
        <v>75</v>
      </c>
      <c r="K262" s="36">
        <v>69</v>
      </c>
      <c r="L262" s="36">
        <v>63</v>
      </c>
      <c r="M262" s="36">
        <v>63</v>
      </c>
      <c r="N262" s="36">
        <v>21</v>
      </c>
      <c r="O262" s="36">
        <v>10</v>
      </c>
      <c r="P262" s="36">
        <v>8</v>
      </c>
      <c r="Q262" s="36" t="s">
        <v>181</v>
      </c>
      <c r="R262" s="36" t="s">
        <v>196</v>
      </c>
      <c r="S262" s="36" t="s">
        <v>7</v>
      </c>
      <c r="T262" s="36" t="s">
        <v>263</v>
      </c>
      <c r="U262" s="3" t="s">
        <v>171</v>
      </c>
      <c r="V262" s="3" t="s">
        <v>172</v>
      </c>
      <c r="W262" s="3"/>
      <c r="X262" s="3"/>
      <c r="Y262" s="36" t="str">
        <f>HYPERLINK("http://www.stromypodkontrolou.cz/map/?draw_selection_circle=1#%7B%22lat%22%3A%2049.6738343750949%2C%20%22lng%22%3A%2018.6696474353016%2C%20%22zoom%22%3A%2020%7D")</f>
        <v>http://www.stromypodkontrolou.cz/map/?draw_selection_circle=1#%7B%22lat%22%3A%2049.6738343750949%2C%20%22lng%22%3A%2018.6696474353016%2C%20%22zoom%22%3A%2020%7D</v>
      </c>
    </row>
    <row r="263" spans="1:25" ht="12.7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" t="s">
        <v>218</v>
      </c>
      <c r="V263" s="3" t="s">
        <v>219</v>
      </c>
      <c r="W263" s="3"/>
      <c r="X263" s="3"/>
      <c r="Y263" s="36"/>
    </row>
    <row r="264" spans="1:25" ht="12.75">
      <c r="A264" s="36" t="s">
        <v>22</v>
      </c>
      <c r="B264" s="36">
        <v>165</v>
      </c>
      <c r="C264" s="36"/>
      <c r="D264" s="36" t="s">
        <v>42</v>
      </c>
      <c r="E264" s="36" t="s">
        <v>241</v>
      </c>
      <c r="F264" s="36">
        <v>15</v>
      </c>
      <c r="G264" s="36"/>
      <c r="H264" s="36"/>
      <c r="I264" s="36"/>
      <c r="J264" s="36">
        <v>47</v>
      </c>
      <c r="K264" s="36"/>
      <c r="L264" s="36"/>
      <c r="M264" s="36"/>
      <c r="N264" s="36">
        <v>7</v>
      </c>
      <c r="O264" s="36">
        <v>0</v>
      </c>
      <c r="P264" s="36">
        <v>5</v>
      </c>
      <c r="Q264" s="36" t="s">
        <v>181</v>
      </c>
      <c r="R264" s="36" t="s">
        <v>372</v>
      </c>
      <c r="S264" s="36" t="s">
        <v>189</v>
      </c>
      <c r="T264" s="36" t="s">
        <v>373</v>
      </c>
      <c r="U264" s="3" t="s">
        <v>169</v>
      </c>
      <c r="V264" s="3" t="s">
        <v>170</v>
      </c>
      <c r="W264" s="3"/>
      <c r="X264" s="3"/>
      <c r="Y264" s="36" t="str">
        <f>HYPERLINK("http://www.stromypodkontrolou.cz/map/?draw_selection_circle=1#%7B%22lat%22%3A%2049.6706824220591%2C%20%22lng%22%3A%2018.6718018509149%2C%20%22zoom%22%3A%2020%7D")</f>
        <v>http://www.stromypodkontrolou.cz/map/?draw_selection_circle=1#%7B%22lat%22%3A%2049.6706824220591%2C%20%22lng%22%3A%2018.6718018509149%2C%20%22zoom%22%3A%2020%7D</v>
      </c>
    </row>
    <row r="265" spans="1:25" ht="12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" t="s">
        <v>171</v>
      </c>
      <c r="V265" s="3" t="s">
        <v>172</v>
      </c>
      <c r="W265" s="3"/>
      <c r="X265" s="3"/>
      <c r="Y265" s="36"/>
    </row>
    <row r="266" spans="1:25" ht="12.75">
      <c r="A266" s="36" t="s">
        <v>22</v>
      </c>
      <c r="B266" s="36">
        <v>105</v>
      </c>
      <c r="C266" s="36"/>
      <c r="D266" s="36" t="s">
        <v>10</v>
      </c>
      <c r="E266" s="36" t="s">
        <v>165</v>
      </c>
      <c r="F266" s="36">
        <v>23</v>
      </c>
      <c r="G266" s="36"/>
      <c r="H266" s="36"/>
      <c r="I266" s="36"/>
      <c r="J266" s="36">
        <v>72</v>
      </c>
      <c r="K266" s="36"/>
      <c r="L266" s="36"/>
      <c r="M266" s="36"/>
      <c r="N266" s="36">
        <v>7</v>
      </c>
      <c r="O266" s="36">
        <v>2</v>
      </c>
      <c r="P266" s="36">
        <v>6</v>
      </c>
      <c r="Q266" s="36" t="s">
        <v>181</v>
      </c>
      <c r="R266" s="36" t="s">
        <v>374</v>
      </c>
      <c r="S266" s="36" t="s">
        <v>189</v>
      </c>
      <c r="T266" s="36" t="s">
        <v>375</v>
      </c>
      <c r="U266" s="3" t="s">
        <v>191</v>
      </c>
      <c r="V266" s="3" t="s">
        <v>192</v>
      </c>
      <c r="W266" s="3"/>
      <c r="X266" s="3"/>
      <c r="Y266" s="36" t="str">
        <f>HYPERLINK("http://www.stromypodkontrolou.cz/map/?draw_selection_circle=1#%7B%22lat%22%3A%2049.6704882281615%2C%20%22lng%22%3A%2018.6723347557922%2C%20%22zoom%22%3A%2020%7D")</f>
        <v>http://www.stromypodkontrolou.cz/map/?draw_selection_circle=1#%7B%22lat%22%3A%2049.6704882281615%2C%20%22lng%22%3A%2018.6723347557922%2C%20%22zoom%22%3A%2020%7D</v>
      </c>
    </row>
    <row r="267" spans="1:25" ht="12.7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" t="s">
        <v>171</v>
      </c>
      <c r="V267" s="3" t="s">
        <v>172</v>
      </c>
      <c r="W267" s="3"/>
      <c r="X267" s="3"/>
      <c r="Y267" s="36"/>
    </row>
    <row r="268" spans="1:25" ht="12.75">
      <c r="A268" s="36" t="s">
        <v>81</v>
      </c>
      <c r="B268" s="36">
        <v>65</v>
      </c>
      <c r="C268" s="36"/>
      <c r="D268" s="36" t="s">
        <v>13</v>
      </c>
      <c r="E268" s="36" t="s">
        <v>175</v>
      </c>
      <c r="F268" s="36">
        <v>24</v>
      </c>
      <c r="G268" s="36"/>
      <c r="H268" s="36"/>
      <c r="I268" s="36"/>
      <c r="J268" s="36">
        <v>75</v>
      </c>
      <c r="K268" s="36"/>
      <c r="L268" s="36"/>
      <c r="M268" s="36"/>
      <c r="N268" s="36">
        <v>15</v>
      </c>
      <c r="O268" s="36">
        <v>0</v>
      </c>
      <c r="P268" s="36">
        <v>6</v>
      </c>
      <c r="Q268" s="36" t="s">
        <v>166</v>
      </c>
      <c r="R268" s="36" t="s">
        <v>196</v>
      </c>
      <c r="S268" s="36" t="s">
        <v>189</v>
      </c>
      <c r="T268" s="36" t="s">
        <v>334</v>
      </c>
      <c r="U268" s="3" t="s">
        <v>191</v>
      </c>
      <c r="V268" s="3" t="s">
        <v>192</v>
      </c>
      <c r="W268" s="3"/>
      <c r="X268" s="3"/>
      <c r="Y268" s="36" t="str">
        <f>HYPERLINK("http://www.stromypodkontrolou.cz/map/?draw_selection_circle=1#%7B%22lat%22%3A%2049.6690774172596%2C%20%22lng%22%3A%2018.6729946778118%2C%20%22zoom%22%3A%2020%7D")</f>
        <v>http://www.stromypodkontrolou.cz/map/?draw_selection_circle=1#%7B%22lat%22%3A%2049.6690774172596%2C%20%22lng%22%3A%2018.6729946778118%2C%20%22zoom%22%3A%2020%7D</v>
      </c>
    </row>
    <row r="269" spans="1:25" ht="12.7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" t="s">
        <v>171</v>
      </c>
      <c r="V269" s="3" t="s">
        <v>172</v>
      </c>
      <c r="W269" s="3"/>
      <c r="X269" s="3"/>
      <c r="Y269" s="36"/>
    </row>
    <row r="270" spans="1:25" ht="12.75">
      <c r="A270" s="36" t="s">
        <v>26</v>
      </c>
      <c r="B270" s="36">
        <v>144</v>
      </c>
      <c r="C270" s="36"/>
      <c r="D270" s="36" t="s">
        <v>112</v>
      </c>
      <c r="E270" s="36" t="s">
        <v>376</v>
      </c>
      <c r="F270" s="36">
        <v>10</v>
      </c>
      <c r="G270" s="36"/>
      <c r="H270" s="36"/>
      <c r="I270" s="36"/>
      <c r="J270" s="36">
        <v>31</v>
      </c>
      <c r="K270" s="36"/>
      <c r="L270" s="36"/>
      <c r="M270" s="36"/>
      <c r="N270" s="36">
        <v>5</v>
      </c>
      <c r="O270" s="36">
        <v>1</v>
      </c>
      <c r="P270" s="36">
        <v>5</v>
      </c>
      <c r="Q270" s="36" t="s">
        <v>166</v>
      </c>
      <c r="R270" s="36" t="s">
        <v>377</v>
      </c>
      <c r="S270" s="36" t="s">
        <v>189</v>
      </c>
      <c r="T270" s="36" t="s">
        <v>206</v>
      </c>
      <c r="U270" s="3" t="s">
        <v>171</v>
      </c>
      <c r="V270" s="3" t="s">
        <v>172</v>
      </c>
      <c r="W270" s="3"/>
      <c r="X270" s="3"/>
      <c r="Y270" s="36" t="str">
        <f>HYPERLINK("http://www.stromypodkontrolou.cz/map/?draw_selection_circle=1#%7B%22lat%22%3A%2049.6655519441729%2C%20%22lng%22%3A%2018.6754693538287%2C%20%22zoom%22%3A%2020%7D")</f>
        <v>http://www.stromypodkontrolou.cz/map/?draw_selection_circle=1#%7B%22lat%22%3A%2049.6655519441729%2C%20%22lng%22%3A%2018.6754693538287%2C%20%22zoom%22%3A%2020%7D</v>
      </c>
    </row>
    <row r="271" spans="1:25" ht="12.7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" t="s">
        <v>169</v>
      </c>
      <c r="V271" s="3" t="s">
        <v>170</v>
      </c>
      <c r="W271" s="3"/>
      <c r="X271" s="3"/>
      <c r="Y271" s="36"/>
    </row>
    <row r="272" spans="1:25" ht="12.75">
      <c r="A272" s="36" t="s">
        <v>25</v>
      </c>
      <c r="B272" s="36">
        <v>70</v>
      </c>
      <c r="C272" s="36"/>
      <c r="D272" s="36" t="s">
        <v>104</v>
      </c>
      <c r="E272" s="36" t="s">
        <v>344</v>
      </c>
      <c r="F272" s="36">
        <v>34</v>
      </c>
      <c r="G272" s="36"/>
      <c r="H272" s="36"/>
      <c r="I272" s="36"/>
      <c r="J272" s="36">
        <v>107</v>
      </c>
      <c r="K272" s="36"/>
      <c r="L272" s="36"/>
      <c r="M272" s="36"/>
      <c r="N272" s="36">
        <v>7</v>
      </c>
      <c r="O272" s="36">
        <v>3</v>
      </c>
      <c r="P272" s="36">
        <v>3</v>
      </c>
      <c r="Q272" s="36" t="s">
        <v>181</v>
      </c>
      <c r="R272" s="36" t="s">
        <v>378</v>
      </c>
      <c r="S272" s="36" t="s">
        <v>189</v>
      </c>
      <c r="T272" s="36" t="s">
        <v>203</v>
      </c>
      <c r="U272" s="3" t="s">
        <v>169</v>
      </c>
      <c r="V272" s="3" t="s">
        <v>170</v>
      </c>
      <c r="W272" s="3"/>
      <c r="X272" s="3"/>
      <c r="Y272" s="36" t="str">
        <f>HYPERLINK("http://www.stromypodkontrolou.cz/map/?draw_selection_circle=1#%7B%22lat%22%3A%2049.6635793842%2C%20%22lng%22%3A%2018.6723121265%2C%20%22zoom%22%3A%2020%7D")</f>
        <v>http://www.stromypodkontrolou.cz/map/?draw_selection_circle=1#%7B%22lat%22%3A%2049.6635793842%2C%20%22lng%22%3A%2018.6723121265%2C%20%22zoom%22%3A%2020%7D</v>
      </c>
    </row>
    <row r="273" spans="1:25" ht="12.7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" t="s">
        <v>171</v>
      </c>
      <c r="V273" s="3" t="s">
        <v>172</v>
      </c>
      <c r="W273" s="3"/>
      <c r="X273" s="3"/>
      <c r="Y273" s="36"/>
    </row>
    <row r="274" spans="1:25" ht="12.75">
      <c r="A274" s="36" t="s">
        <v>25</v>
      </c>
      <c r="B274" s="36">
        <v>71</v>
      </c>
      <c r="C274" s="36"/>
      <c r="D274" s="36" t="s">
        <v>57</v>
      </c>
      <c r="E274" s="36" t="s">
        <v>261</v>
      </c>
      <c r="F274" s="36">
        <v>15</v>
      </c>
      <c r="G274" s="36">
        <v>10</v>
      </c>
      <c r="H274" s="36"/>
      <c r="I274" s="36"/>
      <c r="J274" s="36">
        <v>47</v>
      </c>
      <c r="K274" s="36">
        <v>31</v>
      </c>
      <c r="L274" s="36"/>
      <c r="M274" s="36"/>
      <c r="N274" s="36">
        <v>10</v>
      </c>
      <c r="O274" s="36">
        <v>3</v>
      </c>
      <c r="P274" s="36">
        <v>6</v>
      </c>
      <c r="Q274" s="36" t="s">
        <v>166</v>
      </c>
      <c r="R274" s="36" t="s">
        <v>379</v>
      </c>
      <c r="S274" s="36" t="s">
        <v>189</v>
      </c>
      <c r="T274" s="36" t="s">
        <v>203</v>
      </c>
      <c r="U274" s="3" t="s">
        <v>218</v>
      </c>
      <c r="V274" s="3" t="s">
        <v>219</v>
      </c>
      <c r="W274" s="3"/>
      <c r="X274" s="3"/>
      <c r="Y274" s="36" t="str">
        <f>HYPERLINK("http://www.stromypodkontrolou.cz/map/?draw_selection_circle=1#%7B%22lat%22%3A%2049.6636337635732%2C%20%22lng%22%3A%2018.6723237962887%2C%20%22zoom%22%3A%2020%7D")</f>
        <v>http://www.stromypodkontrolou.cz/map/?draw_selection_circle=1#%7B%22lat%22%3A%2049.6636337635732%2C%20%22lng%22%3A%2018.6723237962887%2C%20%22zoom%22%3A%2020%7D</v>
      </c>
    </row>
    <row r="275" spans="1:25" ht="12.7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" t="s">
        <v>171</v>
      </c>
      <c r="V275" s="3" t="s">
        <v>172</v>
      </c>
      <c r="W275" s="3"/>
      <c r="X275" s="3"/>
      <c r="Y275" s="36"/>
    </row>
    <row r="276" spans="1:25" ht="12.75">
      <c r="A276" s="36" t="s">
        <v>73</v>
      </c>
      <c r="B276" s="36">
        <v>18</v>
      </c>
      <c r="C276" s="36"/>
      <c r="D276" s="36" t="s">
        <v>46</v>
      </c>
      <c r="E276" s="36" t="s">
        <v>248</v>
      </c>
      <c r="F276" s="36">
        <v>10</v>
      </c>
      <c r="G276" s="36"/>
      <c r="H276" s="36"/>
      <c r="I276" s="36"/>
      <c r="J276" s="36">
        <v>31</v>
      </c>
      <c r="K276" s="36"/>
      <c r="L276" s="36"/>
      <c r="M276" s="36"/>
      <c r="N276" s="36">
        <v>6</v>
      </c>
      <c r="O276" s="36">
        <v>1</v>
      </c>
      <c r="P276" s="36">
        <v>2</v>
      </c>
      <c r="Q276" s="36" t="s">
        <v>179</v>
      </c>
      <c r="R276" s="36"/>
      <c r="S276" s="36" t="s">
        <v>189</v>
      </c>
      <c r="T276" s="36" t="s">
        <v>354</v>
      </c>
      <c r="U276" s="3" t="s">
        <v>169</v>
      </c>
      <c r="V276" s="3" t="s">
        <v>170</v>
      </c>
      <c r="W276" s="3"/>
      <c r="X276" s="3"/>
      <c r="Y276" s="36" t="str">
        <f>HYPERLINK("http://www.stromypodkontrolou.cz/map/?draw_selection_circle=1#%7B%22lat%22%3A%2049.6651871708%2C%20%22lng%22%3A%2018.6772845001%2C%20%22zoom%22%3A%2020%7D")</f>
        <v>http://www.stromypodkontrolou.cz/map/?draw_selection_circle=1#%7B%22lat%22%3A%2049.6651871708%2C%20%22lng%22%3A%2018.6772845001%2C%20%22zoom%22%3A%2020%7D</v>
      </c>
    </row>
    <row r="277" spans="1:25" ht="12.7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" t="s">
        <v>171</v>
      </c>
      <c r="V277" s="3" t="s">
        <v>172</v>
      </c>
      <c r="W277" s="3"/>
      <c r="X277" s="3"/>
      <c r="Y277" s="36"/>
    </row>
    <row r="278" spans="1:25" ht="12.75">
      <c r="A278" s="36" t="s">
        <v>73</v>
      </c>
      <c r="B278" s="36">
        <v>16</v>
      </c>
      <c r="C278" s="36"/>
      <c r="D278" s="36" t="s">
        <v>46</v>
      </c>
      <c r="E278" s="36" t="s">
        <v>248</v>
      </c>
      <c r="F278" s="36">
        <v>11</v>
      </c>
      <c r="G278" s="36"/>
      <c r="H278" s="36"/>
      <c r="I278" s="36"/>
      <c r="J278" s="36">
        <v>35</v>
      </c>
      <c r="K278" s="36"/>
      <c r="L278" s="36"/>
      <c r="M278" s="36"/>
      <c r="N278" s="36">
        <v>7</v>
      </c>
      <c r="O278" s="36">
        <v>2</v>
      </c>
      <c r="P278" s="36">
        <v>2</v>
      </c>
      <c r="Q278" s="36" t="s">
        <v>179</v>
      </c>
      <c r="R278" s="36"/>
      <c r="S278" s="36" t="s">
        <v>189</v>
      </c>
      <c r="T278" s="36" t="s">
        <v>354</v>
      </c>
      <c r="U278" s="3" t="s">
        <v>169</v>
      </c>
      <c r="V278" s="3" t="s">
        <v>170</v>
      </c>
      <c r="W278" s="3"/>
      <c r="X278" s="3"/>
      <c r="Y278" s="36" t="str">
        <f>HYPERLINK("http://www.stromypodkontrolou.cz/map/?draw_selection_circle=1#%7B%22lat%22%3A%2049.6652137402%2C%20%22lng%22%3A%2018.6772443978%2C%20%22zoom%22%3A%2020%7D")</f>
        <v>http://www.stromypodkontrolou.cz/map/?draw_selection_circle=1#%7B%22lat%22%3A%2049.6652137402%2C%20%22lng%22%3A%2018.6772443978%2C%20%22zoom%22%3A%2020%7D</v>
      </c>
    </row>
    <row r="279" spans="1:25" ht="12.7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" t="s">
        <v>171</v>
      </c>
      <c r="V279" s="3" t="s">
        <v>172</v>
      </c>
      <c r="W279" s="3"/>
      <c r="X279" s="3"/>
      <c r="Y279" s="36"/>
    </row>
    <row r="280" spans="1:25" ht="12.75">
      <c r="A280" s="36" t="s">
        <v>73</v>
      </c>
      <c r="B280" s="36">
        <v>51</v>
      </c>
      <c r="C280" s="36"/>
      <c r="D280" s="36" t="s">
        <v>72</v>
      </c>
      <c r="E280" s="36" t="s">
        <v>292</v>
      </c>
      <c r="F280" s="36">
        <v>28</v>
      </c>
      <c r="G280" s="36"/>
      <c r="H280" s="36"/>
      <c r="I280" s="36"/>
      <c r="J280" s="36">
        <v>88</v>
      </c>
      <c r="K280" s="36"/>
      <c r="L280" s="36"/>
      <c r="M280" s="36"/>
      <c r="N280" s="36">
        <v>14</v>
      </c>
      <c r="O280" s="36">
        <v>0</v>
      </c>
      <c r="P280" s="36">
        <v>5</v>
      </c>
      <c r="Q280" s="36" t="s">
        <v>166</v>
      </c>
      <c r="R280" s="36" t="s">
        <v>186</v>
      </c>
      <c r="S280" s="36" t="s">
        <v>189</v>
      </c>
      <c r="T280" s="36" t="s">
        <v>354</v>
      </c>
      <c r="U280" s="3" t="s">
        <v>169</v>
      </c>
      <c r="V280" s="3" t="s">
        <v>170</v>
      </c>
      <c r="W280" s="3"/>
      <c r="X280" s="3"/>
      <c r="Y280" s="36" t="str">
        <f>HYPERLINK("http://www.stromypodkontrolou.cz/map/?draw_selection_circle=1#%7B%22lat%22%3A%2049.6648480747024%2C%20%22lng%22%3A%2018.6772566779716%2C%20%22zoom%22%3A%2020%7D")</f>
        <v>http://www.stromypodkontrolou.cz/map/?draw_selection_circle=1#%7B%22lat%22%3A%2049.6648480747024%2C%20%22lng%22%3A%2018.6772566779716%2C%20%22zoom%22%3A%2020%7D</v>
      </c>
    </row>
    <row r="281" spans="1:25" ht="12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" t="s">
        <v>171</v>
      </c>
      <c r="V281" s="3" t="s">
        <v>172</v>
      </c>
      <c r="W281" s="3"/>
      <c r="X281" s="3"/>
      <c r="Y281" s="36"/>
    </row>
    <row r="282" spans="1:25" ht="12.75">
      <c r="A282" s="36" t="s">
        <v>73</v>
      </c>
      <c r="B282" s="36">
        <v>255</v>
      </c>
      <c r="C282" s="36"/>
      <c r="D282" s="36" t="s">
        <v>113</v>
      </c>
      <c r="E282" s="36" t="s">
        <v>380</v>
      </c>
      <c r="F282" s="36">
        <v>15</v>
      </c>
      <c r="G282" s="36">
        <v>12</v>
      </c>
      <c r="H282" s="36"/>
      <c r="I282" s="36"/>
      <c r="J282" s="36">
        <v>47</v>
      </c>
      <c r="K282" s="36">
        <v>38</v>
      </c>
      <c r="L282" s="36"/>
      <c r="M282" s="36"/>
      <c r="N282" s="36">
        <v>4</v>
      </c>
      <c r="O282" s="36">
        <v>0</v>
      </c>
      <c r="P282" s="36">
        <v>5</v>
      </c>
      <c r="Q282" s="36" t="s">
        <v>181</v>
      </c>
      <c r="R282" s="36" t="s">
        <v>176</v>
      </c>
      <c r="S282" s="36" t="s">
        <v>189</v>
      </c>
      <c r="T282" s="36" t="s">
        <v>298</v>
      </c>
      <c r="U282" s="3" t="s">
        <v>169</v>
      </c>
      <c r="V282" s="3" t="s">
        <v>170</v>
      </c>
      <c r="W282" s="3"/>
      <c r="X282" s="3"/>
      <c r="Y282" s="36" t="str">
        <f>HYPERLINK("http://www.stromypodkontrolou.cz/map/?draw_selection_circle=1#%7B%22lat%22%3A%2049.6635828222364%2C%20%22lng%22%3A%2018.6793620883311%2C%20%22zoom%22%3A%2020%7D")</f>
        <v>http://www.stromypodkontrolou.cz/map/?draw_selection_circle=1#%7B%22lat%22%3A%2049.6635828222364%2C%20%22lng%22%3A%2018.6793620883311%2C%20%22zoom%22%3A%2020%7D</v>
      </c>
    </row>
    <row r="283" spans="1:25" ht="12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" t="s">
        <v>171</v>
      </c>
      <c r="V283" s="3" t="s">
        <v>172</v>
      </c>
      <c r="W283" s="3"/>
      <c r="X283" s="3"/>
      <c r="Y283" s="36"/>
    </row>
    <row r="284" spans="1:25" ht="12.75">
      <c r="A284" s="36" t="s">
        <v>73</v>
      </c>
      <c r="B284" s="36">
        <v>237</v>
      </c>
      <c r="C284" s="36"/>
      <c r="D284" s="36" t="s">
        <v>114</v>
      </c>
      <c r="E284" s="36" t="s">
        <v>381</v>
      </c>
      <c r="F284" s="36">
        <v>34</v>
      </c>
      <c r="G284" s="36"/>
      <c r="H284" s="36"/>
      <c r="I284" s="36"/>
      <c r="J284" s="36">
        <v>107</v>
      </c>
      <c r="K284" s="36"/>
      <c r="L284" s="36"/>
      <c r="M284" s="36"/>
      <c r="N284" s="36">
        <v>7</v>
      </c>
      <c r="O284" s="36">
        <v>2</v>
      </c>
      <c r="P284" s="36">
        <v>7</v>
      </c>
      <c r="Q284" s="36" t="s">
        <v>181</v>
      </c>
      <c r="R284" s="36" t="s">
        <v>382</v>
      </c>
      <c r="S284" s="36" t="s">
        <v>189</v>
      </c>
      <c r="T284" s="36" t="s">
        <v>298</v>
      </c>
      <c r="U284" s="3" t="s">
        <v>169</v>
      </c>
      <c r="V284" s="3" t="s">
        <v>170</v>
      </c>
      <c r="W284" s="3"/>
      <c r="X284" s="3"/>
      <c r="Y284" s="36" t="str">
        <f>HYPERLINK("http://www.stromypodkontrolou.cz/map/?draw_selection_circle=1#%7B%22lat%22%3A%2049.6636037193%2C%20%22lng%22%3A%2018.6794580432%2C%20%22zoom%22%3A%2020%7D")</f>
        <v>http://www.stromypodkontrolou.cz/map/?draw_selection_circle=1#%7B%22lat%22%3A%2049.6636037193%2C%20%22lng%22%3A%2018.6794580432%2C%20%22zoom%22%3A%2020%7D</v>
      </c>
    </row>
    <row r="285" spans="1:25" ht="12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" t="s">
        <v>171</v>
      </c>
      <c r="V285" s="3" t="s">
        <v>172</v>
      </c>
      <c r="W285" s="3"/>
      <c r="X285" s="3"/>
      <c r="Y285" s="36"/>
    </row>
    <row r="286" spans="1:25" ht="12.75">
      <c r="A286" s="36" t="s">
        <v>38</v>
      </c>
      <c r="B286" s="36">
        <v>244</v>
      </c>
      <c r="C286" s="36"/>
      <c r="D286" s="36" t="s">
        <v>27</v>
      </c>
      <c r="E286" s="36" t="s">
        <v>204</v>
      </c>
      <c r="F286" s="36">
        <v>18</v>
      </c>
      <c r="G286" s="36">
        <v>15</v>
      </c>
      <c r="H286" s="36"/>
      <c r="I286" s="36"/>
      <c r="J286" s="36">
        <v>57</v>
      </c>
      <c r="K286" s="36">
        <v>47</v>
      </c>
      <c r="L286" s="36"/>
      <c r="M286" s="36"/>
      <c r="N286" s="36">
        <v>10</v>
      </c>
      <c r="O286" s="36">
        <v>2</v>
      </c>
      <c r="P286" s="36">
        <v>5</v>
      </c>
      <c r="Q286" s="36" t="s">
        <v>181</v>
      </c>
      <c r="R286" s="36" t="s">
        <v>233</v>
      </c>
      <c r="S286" s="36" t="s">
        <v>189</v>
      </c>
      <c r="T286" s="36" t="s">
        <v>383</v>
      </c>
      <c r="U286" s="3" t="s">
        <v>218</v>
      </c>
      <c r="V286" s="3" t="s">
        <v>219</v>
      </c>
      <c r="W286" s="3"/>
      <c r="X286" s="3"/>
      <c r="Y286" s="36" t="str">
        <f>HYPERLINK("http://www.stromypodkontrolou.cz/map/?draw_selection_circle=1#%7B%22lat%22%3A%2049.6628331455423%2C%20%22lng%22%3A%2018.6817228320606%2C%20%22zoom%22%3A%2020%7D")</f>
        <v>http://www.stromypodkontrolou.cz/map/?draw_selection_circle=1#%7B%22lat%22%3A%2049.6628331455423%2C%20%22lng%22%3A%2018.6817228320606%2C%20%22zoom%22%3A%2020%7D</v>
      </c>
    </row>
    <row r="287" spans="1:25" ht="12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" t="s">
        <v>171</v>
      </c>
      <c r="V287" s="3" t="s">
        <v>172</v>
      </c>
      <c r="W287" s="3"/>
      <c r="X287" s="3"/>
      <c r="Y287" s="36"/>
    </row>
    <row r="288" spans="1:25" ht="12.75">
      <c r="A288" s="36" t="s">
        <v>38</v>
      </c>
      <c r="B288" s="36">
        <v>274</v>
      </c>
      <c r="C288" s="36"/>
      <c r="D288" s="36" t="s">
        <v>112</v>
      </c>
      <c r="E288" s="36" t="s">
        <v>376</v>
      </c>
      <c r="F288" s="36">
        <v>28</v>
      </c>
      <c r="G288" s="36"/>
      <c r="H288" s="36"/>
      <c r="I288" s="36"/>
      <c r="J288" s="36">
        <v>88</v>
      </c>
      <c r="K288" s="36"/>
      <c r="L288" s="36"/>
      <c r="M288" s="36"/>
      <c r="N288" s="36">
        <v>8</v>
      </c>
      <c r="O288" s="36">
        <v>3</v>
      </c>
      <c r="P288" s="36">
        <v>7</v>
      </c>
      <c r="Q288" s="36" t="s">
        <v>301</v>
      </c>
      <c r="R288" s="36" t="s">
        <v>184</v>
      </c>
      <c r="S288" s="36" t="s">
        <v>189</v>
      </c>
      <c r="T288" s="36"/>
      <c r="U288" s="3" t="s">
        <v>169</v>
      </c>
      <c r="V288" s="3" t="s">
        <v>170</v>
      </c>
      <c r="W288" s="3"/>
      <c r="X288" s="3"/>
      <c r="Y288" s="36" t="str">
        <f>HYPERLINK("http://www.stromypodkontrolou.cz/map/?draw_selection_circle=1#%7B%22lat%22%3A%2049.6627944140655%2C%20%22lng%22%3A%2018.6816749935087%2C%20%22zoom%22%3A%2020%7D")</f>
        <v>http://www.stromypodkontrolou.cz/map/?draw_selection_circle=1#%7B%22lat%22%3A%2049.6627944140655%2C%20%22lng%22%3A%2018.6816749935087%2C%20%22zoom%22%3A%2020%7D</v>
      </c>
    </row>
    <row r="289" spans="1:25" ht="12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" t="s">
        <v>171</v>
      </c>
      <c r="V289" s="3" t="s">
        <v>172</v>
      </c>
      <c r="W289" s="3"/>
      <c r="X289" s="3"/>
      <c r="Y289" s="36"/>
    </row>
    <row r="290" spans="1:25" ht="12.75">
      <c r="A290" s="36" t="s">
        <v>66</v>
      </c>
      <c r="B290" s="36">
        <v>49</v>
      </c>
      <c r="C290" s="36"/>
      <c r="D290" s="36" t="s">
        <v>72</v>
      </c>
      <c r="E290" s="36" t="s">
        <v>292</v>
      </c>
      <c r="F290" s="36">
        <v>23</v>
      </c>
      <c r="G290" s="36"/>
      <c r="H290" s="36"/>
      <c r="I290" s="36"/>
      <c r="J290" s="36">
        <v>72</v>
      </c>
      <c r="K290" s="36"/>
      <c r="L290" s="36"/>
      <c r="M290" s="36"/>
      <c r="N290" s="36">
        <v>12</v>
      </c>
      <c r="O290" s="36">
        <v>0</v>
      </c>
      <c r="P290" s="36">
        <v>6</v>
      </c>
      <c r="Q290" s="36" t="s">
        <v>166</v>
      </c>
      <c r="R290" s="36" t="s">
        <v>186</v>
      </c>
      <c r="S290" s="36" t="s">
        <v>189</v>
      </c>
      <c r="T290" s="36" t="s">
        <v>384</v>
      </c>
      <c r="U290" s="3" t="s">
        <v>169</v>
      </c>
      <c r="V290" s="3" t="s">
        <v>170</v>
      </c>
      <c r="W290" s="3"/>
      <c r="X290" s="3"/>
      <c r="Y290" s="36" t="str">
        <f>HYPERLINK("http://www.stromypodkontrolou.cz/map/?draw_selection_circle=1#%7B%22lat%22%3A%2049.6642406779343%2C%20%22lng%22%3A%2018.6816013479332%2C%20%22zoom%22%3A%2020%7D")</f>
        <v>http://www.stromypodkontrolou.cz/map/?draw_selection_circle=1#%7B%22lat%22%3A%2049.6642406779343%2C%20%22lng%22%3A%2018.6816013479332%2C%20%22zoom%22%3A%2020%7D</v>
      </c>
    </row>
    <row r="291" spans="1:25" ht="12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" t="s">
        <v>171</v>
      </c>
      <c r="V291" s="3" t="s">
        <v>172</v>
      </c>
      <c r="W291" s="3"/>
      <c r="X291" s="3"/>
      <c r="Y291" s="36"/>
    </row>
    <row r="292" spans="1:25" ht="12.75">
      <c r="A292" s="3" t="s">
        <v>66</v>
      </c>
      <c r="B292" s="3">
        <v>109</v>
      </c>
      <c r="C292" s="3"/>
      <c r="D292" s="3" t="s">
        <v>41</v>
      </c>
      <c r="E292" s="3" t="s">
        <v>238</v>
      </c>
      <c r="F292" s="3">
        <v>25</v>
      </c>
      <c r="G292" s="3">
        <v>23</v>
      </c>
      <c r="H292" s="3"/>
      <c r="I292" s="3"/>
      <c r="J292" s="3">
        <v>79</v>
      </c>
      <c r="K292" s="3">
        <v>72</v>
      </c>
      <c r="L292" s="3"/>
      <c r="M292" s="3"/>
      <c r="N292" s="3">
        <v>14</v>
      </c>
      <c r="O292" s="3">
        <v>3</v>
      </c>
      <c r="P292" s="3">
        <v>6</v>
      </c>
      <c r="Q292" s="3" t="s">
        <v>181</v>
      </c>
      <c r="R292" s="3" t="s">
        <v>385</v>
      </c>
      <c r="S292" s="3" t="s">
        <v>189</v>
      </c>
      <c r="T292" s="3" t="s">
        <v>384</v>
      </c>
      <c r="U292" s="3" t="s">
        <v>169</v>
      </c>
      <c r="V292" s="3" t="s">
        <v>170</v>
      </c>
      <c r="W292" s="3"/>
      <c r="X292" s="3"/>
      <c r="Y292" s="3" t="str">
        <f>HYPERLINK("http://www.stromypodkontrolou.cz/map/?draw_selection_circle=1#%7B%22lat%22%3A%2049.6645611689%2C%20%22lng%22%3A%2018.6823501885%2C%20%22zoom%22%3A%2020%7D")</f>
        <v>http://www.stromypodkontrolou.cz/map/?draw_selection_circle=1#%7B%22lat%22%3A%2049.6645611689%2C%20%22lng%22%3A%2018.6823501885%2C%20%22zoom%22%3A%2020%7D</v>
      </c>
    </row>
    <row r="293" spans="1:25" ht="12.75">
      <c r="A293" s="36" t="s">
        <v>115</v>
      </c>
      <c r="B293" s="36">
        <v>100</v>
      </c>
      <c r="C293" s="36"/>
      <c r="D293" s="36" t="s">
        <v>13</v>
      </c>
      <c r="E293" s="36" t="s">
        <v>175</v>
      </c>
      <c r="F293" s="36">
        <v>15</v>
      </c>
      <c r="G293" s="36">
        <v>14</v>
      </c>
      <c r="H293" s="36"/>
      <c r="I293" s="36"/>
      <c r="J293" s="36">
        <v>47</v>
      </c>
      <c r="K293" s="36">
        <v>44</v>
      </c>
      <c r="L293" s="36"/>
      <c r="M293" s="36"/>
      <c r="N293" s="36">
        <v>8</v>
      </c>
      <c r="O293" s="36">
        <v>0</v>
      </c>
      <c r="P293" s="36">
        <v>4</v>
      </c>
      <c r="Q293" s="36" t="s">
        <v>166</v>
      </c>
      <c r="R293" s="36" t="s">
        <v>233</v>
      </c>
      <c r="S293" s="36" t="s">
        <v>189</v>
      </c>
      <c r="T293" s="36" t="s">
        <v>386</v>
      </c>
      <c r="U293" s="3" t="s">
        <v>171</v>
      </c>
      <c r="V293" s="3" t="s">
        <v>172</v>
      </c>
      <c r="W293" s="3"/>
      <c r="X293" s="3"/>
      <c r="Y293" s="36" t="str">
        <f>HYPERLINK("http://www.stromypodkontrolou.cz/map/?draw_selection_circle=1#%7B%22lat%22%3A%2049.6677801824092%2C%20%22lng%22%3A%2018.6818849736358%2C%20%22zoom%22%3A%2020%7D")</f>
        <v>http://www.stromypodkontrolou.cz/map/?draw_selection_circle=1#%7B%22lat%22%3A%2049.6677801824092%2C%20%22lng%22%3A%2018.6818849736358%2C%20%22zoom%22%3A%2020%7D</v>
      </c>
    </row>
    <row r="294" spans="1:25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" t="s">
        <v>169</v>
      </c>
      <c r="V294" s="3" t="s">
        <v>170</v>
      </c>
      <c r="W294" s="3"/>
      <c r="X294" s="3"/>
      <c r="Y294" s="36"/>
    </row>
    <row r="295" spans="1:25" ht="12.75">
      <c r="A295" s="36" t="s">
        <v>63</v>
      </c>
      <c r="B295" s="36">
        <v>311</v>
      </c>
      <c r="C295" s="36"/>
      <c r="D295" s="36" t="s">
        <v>24</v>
      </c>
      <c r="E295" s="36" t="s">
        <v>200</v>
      </c>
      <c r="F295" s="36">
        <v>22</v>
      </c>
      <c r="G295" s="36"/>
      <c r="H295" s="36"/>
      <c r="I295" s="36"/>
      <c r="J295" s="36">
        <v>69</v>
      </c>
      <c r="K295" s="36"/>
      <c r="L295" s="36"/>
      <c r="M295" s="36"/>
      <c r="N295" s="36">
        <v>17</v>
      </c>
      <c r="O295" s="36">
        <v>2</v>
      </c>
      <c r="P295" s="36">
        <v>7</v>
      </c>
      <c r="Q295" s="36" t="s">
        <v>166</v>
      </c>
      <c r="R295" s="36" t="s">
        <v>226</v>
      </c>
      <c r="S295" s="36" t="s">
        <v>189</v>
      </c>
      <c r="T295" s="36" t="s">
        <v>387</v>
      </c>
      <c r="U295" s="3" t="s">
        <v>191</v>
      </c>
      <c r="V295" s="3" t="s">
        <v>192</v>
      </c>
      <c r="W295" s="3"/>
      <c r="X295" s="3"/>
      <c r="Y295" s="36" t="str">
        <f>HYPERLINK("http://www.stromypodkontrolou.cz/map/?draw_selection_circle=1#%7B%22lat%22%3A%2049.669162972071%2C%20%22lng%22%3A%2018.6818171125559%2C%20%22zoom%22%3A%2020%7D")</f>
        <v>http://www.stromypodkontrolou.cz/map/?draw_selection_circle=1#%7B%22lat%22%3A%2049.669162972071%2C%20%22lng%22%3A%2018.6818171125559%2C%20%22zoom%22%3A%2020%7D</v>
      </c>
    </row>
    <row r="296" spans="1:25" ht="12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" t="s">
        <v>171</v>
      </c>
      <c r="V296" s="3" t="s">
        <v>172</v>
      </c>
      <c r="W296" s="3"/>
      <c r="X296" s="3"/>
      <c r="Y296" s="36"/>
    </row>
    <row r="297" spans="1:25" ht="12.75">
      <c r="A297" s="36" t="s">
        <v>63</v>
      </c>
      <c r="B297" s="36">
        <v>93</v>
      </c>
      <c r="C297" s="36"/>
      <c r="D297" s="36" t="s">
        <v>11</v>
      </c>
      <c r="E297" s="36" t="s">
        <v>173</v>
      </c>
      <c r="F297" s="36">
        <v>10</v>
      </c>
      <c r="G297" s="36"/>
      <c r="H297" s="36"/>
      <c r="I297" s="36"/>
      <c r="J297" s="36">
        <v>31</v>
      </c>
      <c r="K297" s="36"/>
      <c r="L297" s="36"/>
      <c r="M297" s="36"/>
      <c r="N297" s="36">
        <v>8</v>
      </c>
      <c r="O297" s="36">
        <v>3</v>
      </c>
      <c r="P297" s="36">
        <v>3</v>
      </c>
      <c r="Q297" s="36" t="s">
        <v>181</v>
      </c>
      <c r="R297" s="36" t="s">
        <v>388</v>
      </c>
      <c r="S297" s="36" t="s">
        <v>189</v>
      </c>
      <c r="T297" s="36" t="s">
        <v>387</v>
      </c>
      <c r="U297" s="3" t="s">
        <v>169</v>
      </c>
      <c r="V297" s="3" t="s">
        <v>170</v>
      </c>
      <c r="W297" s="3"/>
      <c r="X297" s="3"/>
      <c r="Y297" s="36" t="str">
        <f>HYPERLINK("http://www.stromypodkontrolou.cz/map/?draw_selection_circle=1#%7B%22lat%22%3A%2049.6692431472989%2C%20%22lng%22%3A%2018.681659938646%2C%20%22zoom%22%3A%2020%7D")</f>
        <v>http://www.stromypodkontrolou.cz/map/?draw_selection_circle=1#%7B%22lat%22%3A%2049.6692431472989%2C%20%22lng%22%3A%2018.681659938646%2C%20%22zoom%22%3A%2020%7D</v>
      </c>
    </row>
    <row r="298" spans="1:25" ht="12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" t="s">
        <v>171</v>
      </c>
      <c r="V298" s="3" t="s">
        <v>172</v>
      </c>
      <c r="W298" s="3"/>
      <c r="X298" s="3"/>
      <c r="Y298" s="36"/>
    </row>
    <row r="299" spans="1:25" ht="12.75">
      <c r="A299" s="36" t="s">
        <v>63</v>
      </c>
      <c r="B299" s="36">
        <v>94</v>
      </c>
      <c r="C299" s="36"/>
      <c r="D299" s="36" t="s">
        <v>11</v>
      </c>
      <c r="E299" s="36" t="s">
        <v>173</v>
      </c>
      <c r="F299" s="36">
        <v>10</v>
      </c>
      <c r="G299" s="36"/>
      <c r="H299" s="36"/>
      <c r="I299" s="36"/>
      <c r="J299" s="36">
        <v>31</v>
      </c>
      <c r="K299" s="36"/>
      <c r="L299" s="36"/>
      <c r="M299" s="36"/>
      <c r="N299" s="36">
        <v>8</v>
      </c>
      <c r="O299" s="36">
        <v>2</v>
      </c>
      <c r="P299" s="36">
        <v>4</v>
      </c>
      <c r="Q299" s="36" t="s">
        <v>166</v>
      </c>
      <c r="R299" s="36" t="s">
        <v>196</v>
      </c>
      <c r="S299" s="36" t="s">
        <v>189</v>
      </c>
      <c r="T299" s="36" t="s">
        <v>387</v>
      </c>
      <c r="U299" s="3" t="s">
        <v>171</v>
      </c>
      <c r="V299" s="3" t="s">
        <v>172</v>
      </c>
      <c r="W299" s="3"/>
      <c r="X299" s="3"/>
      <c r="Y299" s="36" t="str">
        <f>HYPERLINK("http://www.stromypodkontrolou.cz/map/?draw_selection_circle=1#%7B%22lat%22%3A%2049.6692802078%2C%20%22lng%22%3A%2018.6816148534%2C%20%22zoom%22%3A%2020%7D")</f>
        <v>http://www.stromypodkontrolou.cz/map/?draw_selection_circle=1#%7B%22lat%22%3A%2049.6692802078%2C%20%22lng%22%3A%2018.6816148534%2C%20%22zoom%22%3A%2020%7D</v>
      </c>
    </row>
    <row r="300" spans="1:25" ht="12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" t="s">
        <v>169</v>
      </c>
      <c r="V300" s="3" t="s">
        <v>170</v>
      </c>
      <c r="W300" s="3"/>
      <c r="X300" s="3"/>
      <c r="Y300" s="36"/>
    </row>
    <row r="301" spans="1:25" ht="12.75">
      <c r="A301" s="36" t="s">
        <v>63</v>
      </c>
      <c r="B301" s="36">
        <v>95</v>
      </c>
      <c r="C301" s="36"/>
      <c r="D301" s="36" t="s">
        <v>11</v>
      </c>
      <c r="E301" s="36" t="s">
        <v>173</v>
      </c>
      <c r="F301" s="36">
        <v>10</v>
      </c>
      <c r="G301" s="36"/>
      <c r="H301" s="36"/>
      <c r="I301" s="36"/>
      <c r="J301" s="36">
        <v>31</v>
      </c>
      <c r="K301" s="36"/>
      <c r="L301" s="36"/>
      <c r="M301" s="36"/>
      <c r="N301" s="36">
        <v>7</v>
      </c>
      <c r="O301" s="36">
        <v>2</v>
      </c>
      <c r="P301" s="36">
        <v>3</v>
      </c>
      <c r="Q301" s="36" t="s">
        <v>166</v>
      </c>
      <c r="R301" s="36" t="s">
        <v>389</v>
      </c>
      <c r="S301" s="36" t="s">
        <v>189</v>
      </c>
      <c r="T301" s="36" t="s">
        <v>387</v>
      </c>
      <c r="U301" s="3" t="s">
        <v>171</v>
      </c>
      <c r="V301" s="3" t="s">
        <v>172</v>
      </c>
      <c r="W301" s="3"/>
      <c r="X301" s="3"/>
      <c r="Y301" s="36" t="str">
        <f>HYPERLINK("http://www.stromypodkontrolou.cz/map/?draw_selection_circle=1#%7B%22lat%22%3A%2049.6693096298%2C%20%22lng%22%3A%2018.6815835981%2C%20%22zoom%22%3A%2020%7D")</f>
        <v>http://www.stromypodkontrolou.cz/map/?draw_selection_circle=1#%7B%22lat%22%3A%2049.6693096298%2C%20%22lng%22%3A%2018.6815835981%2C%20%22zoom%22%3A%2020%7D</v>
      </c>
    </row>
    <row r="302" spans="1:25" ht="12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" t="s">
        <v>169</v>
      </c>
      <c r="V302" s="3" t="s">
        <v>170</v>
      </c>
      <c r="W302" s="3"/>
      <c r="X302" s="3"/>
      <c r="Y302" s="36"/>
    </row>
    <row r="303" spans="1:25" ht="12.75">
      <c r="A303" s="36" t="s">
        <v>63</v>
      </c>
      <c r="B303" s="36">
        <v>411</v>
      </c>
      <c r="C303" s="36"/>
      <c r="D303" s="36" t="s">
        <v>11</v>
      </c>
      <c r="E303" s="36" t="s">
        <v>173</v>
      </c>
      <c r="F303" s="36">
        <v>34</v>
      </c>
      <c r="G303" s="36"/>
      <c r="H303" s="36"/>
      <c r="I303" s="36"/>
      <c r="J303" s="36">
        <v>107</v>
      </c>
      <c r="K303" s="36"/>
      <c r="L303" s="36"/>
      <c r="M303" s="36"/>
      <c r="N303" s="36">
        <v>22</v>
      </c>
      <c r="O303" s="36">
        <v>6</v>
      </c>
      <c r="P303" s="36">
        <v>8</v>
      </c>
      <c r="Q303" s="36" t="s">
        <v>181</v>
      </c>
      <c r="R303" s="36" t="s">
        <v>390</v>
      </c>
      <c r="S303" s="36" t="s">
        <v>189</v>
      </c>
      <c r="T303" s="36" t="s">
        <v>391</v>
      </c>
      <c r="U303" s="3" t="s">
        <v>191</v>
      </c>
      <c r="V303" s="3" t="s">
        <v>192</v>
      </c>
      <c r="W303" s="3"/>
      <c r="X303" s="3"/>
      <c r="Y303" s="36" t="str">
        <f>HYPERLINK("http://www.stromypodkontrolou.cz/map/?draw_selection_circle=1#%7B%22lat%22%3A%2049.6670039277148%2C%20%22lng%22%3A%2018.6843192998403%2C%20%22zoom%22%3A%2020%7D")</f>
        <v>http://www.stromypodkontrolou.cz/map/?draw_selection_circle=1#%7B%22lat%22%3A%2049.6670039277148%2C%20%22lng%22%3A%2018.6843192998403%2C%20%22zoom%22%3A%2020%7D</v>
      </c>
    </row>
    <row r="304" spans="1:25" ht="12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" t="s">
        <v>171</v>
      </c>
      <c r="V304" s="3" t="s">
        <v>172</v>
      </c>
      <c r="W304" s="3"/>
      <c r="X304" s="3"/>
      <c r="Y304" s="36"/>
    </row>
    <row r="305" spans="1:25" ht="12.75">
      <c r="A305" s="36" t="s">
        <v>116</v>
      </c>
      <c r="B305" s="36">
        <v>129</v>
      </c>
      <c r="C305" s="36"/>
      <c r="D305" s="36" t="s">
        <v>13</v>
      </c>
      <c r="E305" s="36" t="s">
        <v>175</v>
      </c>
      <c r="F305" s="36">
        <v>10</v>
      </c>
      <c r="G305" s="36"/>
      <c r="H305" s="36"/>
      <c r="I305" s="36"/>
      <c r="J305" s="36">
        <v>31</v>
      </c>
      <c r="K305" s="36"/>
      <c r="L305" s="36"/>
      <c r="M305" s="36"/>
      <c r="N305" s="36">
        <v>8</v>
      </c>
      <c r="O305" s="36">
        <v>2</v>
      </c>
      <c r="P305" s="36">
        <v>2</v>
      </c>
      <c r="Q305" s="36" t="s">
        <v>166</v>
      </c>
      <c r="R305" s="36" t="s">
        <v>196</v>
      </c>
      <c r="S305" s="36" t="s">
        <v>189</v>
      </c>
      <c r="T305" s="36" t="s">
        <v>392</v>
      </c>
      <c r="U305" s="3" t="s">
        <v>169</v>
      </c>
      <c r="V305" s="3" t="s">
        <v>170</v>
      </c>
      <c r="W305" s="3"/>
      <c r="X305" s="3"/>
      <c r="Y305" s="36" t="str">
        <f>HYPERLINK("http://www.stromypodkontrolou.cz/map/?draw_selection_circle=1#%7B%22lat%22%3A%2049.6645345844%2C%20%22lng%22%3A%2018.6860288969%2C%20%22zoom%22%3A%2020%7D")</f>
        <v>http://www.stromypodkontrolou.cz/map/?draw_selection_circle=1#%7B%22lat%22%3A%2049.6645345844%2C%20%22lng%22%3A%2018.6860288969%2C%20%22zoom%22%3A%2020%7D</v>
      </c>
    </row>
    <row r="306" spans="1:25" ht="12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" t="s">
        <v>171</v>
      </c>
      <c r="V306" s="3" t="s">
        <v>172</v>
      </c>
      <c r="W306" s="3"/>
      <c r="X306" s="3"/>
      <c r="Y306" s="36"/>
    </row>
    <row r="307" spans="1:25" ht="12.75">
      <c r="A307" s="36" t="s">
        <v>116</v>
      </c>
      <c r="B307" s="36">
        <v>131</v>
      </c>
      <c r="C307" s="36"/>
      <c r="D307" s="36" t="s">
        <v>13</v>
      </c>
      <c r="E307" s="36" t="s">
        <v>175</v>
      </c>
      <c r="F307" s="36">
        <v>23</v>
      </c>
      <c r="G307" s="36"/>
      <c r="H307" s="36"/>
      <c r="I307" s="36"/>
      <c r="J307" s="36">
        <v>72</v>
      </c>
      <c r="K307" s="36"/>
      <c r="L307" s="36"/>
      <c r="M307" s="36"/>
      <c r="N307" s="36">
        <v>15</v>
      </c>
      <c r="O307" s="36">
        <v>1</v>
      </c>
      <c r="P307" s="36">
        <v>4</v>
      </c>
      <c r="Q307" s="36" t="s">
        <v>166</v>
      </c>
      <c r="R307" s="36" t="s">
        <v>196</v>
      </c>
      <c r="S307" s="36" t="s">
        <v>189</v>
      </c>
      <c r="T307" s="36" t="s">
        <v>392</v>
      </c>
      <c r="U307" s="3" t="s">
        <v>169</v>
      </c>
      <c r="V307" s="3" t="s">
        <v>170</v>
      </c>
      <c r="W307" s="3"/>
      <c r="X307" s="3"/>
      <c r="Y307" s="36" t="str">
        <f>HYPERLINK("http://www.stromypodkontrolou.cz/map/?draw_selection_circle=1#%7B%22lat%22%3A%2049.6645527073%2C%20%22lng%22%3A%2018.6860560695%2C%20%22zoom%22%3A%2020%7D")</f>
        <v>http://www.stromypodkontrolou.cz/map/?draw_selection_circle=1#%7B%22lat%22%3A%2049.6645527073%2C%20%22lng%22%3A%2018.6860560695%2C%20%22zoom%22%3A%2020%7D</v>
      </c>
    </row>
    <row r="308" spans="1:25" ht="12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" t="s">
        <v>171</v>
      </c>
      <c r="V308" s="3" t="s">
        <v>172</v>
      </c>
      <c r="W308" s="3"/>
      <c r="X308" s="3"/>
      <c r="Y308" s="36"/>
    </row>
    <row r="309" spans="1:25" ht="12.75">
      <c r="A309" s="36" t="s">
        <v>48</v>
      </c>
      <c r="B309" s="36">
        <v>94</v>
      </c>
      <c r="C309" s="36"/>
      <c r="D309" s="36" t="s">
        <v>24</v>
      </c>
      <c r="E309" s="36" t="s">
        <v>200</v>
      </c>
      <c r="F309" s="36">
        <v>18</v>
      </c>
      <c r="G309" s="36"/>
      <c r="H309" s="36"/>
      <c r="I309" s="36"/>
      <c r="J309" s="36">
        <v>57</v>
      </c>
      <c r="K309" s="36"/>
      <c r="L309" s="36"/>
      <c r="M309" s="36"/>
      <c r="N309" s="36">
        <v>9</v>
      </c>
      <c r="O309" s="36">
        <v>2</v>
      </c>
      <c r="P309" s="36">
        <v>4</v>
      </c>
      <c r="Q309" s="36" t="s">
        <v>181</v>
      </c>
      <c r="R309" s="36" t="s">
        <v>176</v>
      </c>
      <c r="S309" s="36" t="s">
        <v>189</v>
      </c>
      <c r="T309" s="36" t="s">
        <v>391</v>
      </c>
      <c r="U309" s="3" t="s">
        <v>171</v>
      </c>
      <c r="V309" s="3" t="s">
        <v>172</v>
      </c>
      <c r="W309" s="3"/>
      <c r="X309" s="3"/>
      <c r="Y309" s="36" t="str">
        <f>HYPERLINK("http://www.stromypodkontrolou.cz/map/?draw_selection_circle=1#%7B%22lat%22%3A%2049.6668111928%2C%20%22lng%22%3A%2018.6842883543%2C%20%22zoom%22%3A%2020%7D")</f>
        <v>http://www.stromypodkontrolou.cz/map/?draw_selection_circle=1#%7B%22lat%22%3A%2049.6668111928%2C%20%22lng%22%3A%2018.6842883543%2C%20%22zoom%22%3A%2020%7D</v>
      </c>
    </row>
    <row r="310" spans="1:25" ht="12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" t="s">
        <v>169</v>
      </c>
      <c r="V310" s="3" t="s">
        <v>170</v>
      </c>
      <c r="W310" s="3"/>
      <c r="X310" s="3"/>
      <c r="Y310" s="36"/>
    </row>
    <row r="311" spans="1:25" ht="12.75">
      <c r="A311" s="36" t="s">
        <v>63</v>
      </c>
      <c r="B311" s="36">
        <v>437</v>
      </c>
      <c r="C311" s="36"/>
      <c r="D311" s="36" t="s">
        <v>117</v>
      </c>
      <c r="E311" s="36" t="s">
        <v>393</v>
      </c>
      <c r="F311" s="36">
        <v>26</v>
      </c>
      <c r="G311" s="36"/>
      <c r="H311" s="36"/>
      <c r="I311" s="36"/>
      <c r="J311" s="36">
        <v>82</v>
      </c>
      <c r="K311" s="36"/>
      <c r="L311" s="36"/>
      <c r="M311" s="36"/>
      <c r="N311" s="36">
        <v>7</v>
      </c>
      <c r="O311" s="36">
        <v>1</v>
      </c>
      <c r="P311" s="36">
        <v>7</v>
      </c>
      <c r="Q311" s="36" t="s">
        <v>181</v>
      </c>
      <c r="R311" s="36" t="s">
        <v>394</v>
      </c>
      <c r="S311" s="36" t="s">
        <v>189</v>
      </c>
      <c r="T311" s="36" t="s">
        <v>395</v>
      </c>
      <c r="U311" s="3" t="s">
        <v>169</v>
      </c>
      <c r="V311" s="3" t="s">
        <v>170</v>
      </c>
      <c r="W311" s="3"/>
      <c r="X311" s="3"/>
      <c r="Y311" s="36" t="str">
        <f>HYPERLINK("http://www.stromypodkontrolou.cz/map/?draw_selection_circle=1#%7B%22lat%22%3A%2049.6672361802692%2C%20%22lng%22%3A%2018.6844951650203%2C%20%22zoom%22%3A%2020%7D")</f>
        <v>http://www.stromypodkontrolou.cz/map/?draw_selection_circle=1#%7B%22lat%22%3A%2049.6672361802692%2C%20%22lng%22%3A%2018.6844951650203%2C%20%22zoom%22%3A%2020%7D</v>
      </c>
    </row>
    <row r="312" spans="1:25" ht="12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" t="s">
        <v>171</v>
      </c>
      <c r="V312" s="3" t="s">
        <v>172</v>
      </c>
      <c r="W312" s="3"/>
      <c r="X312" s="3"/>
      <c r="Y312" s="36"/>
    </row>
    <row r="313" spans="1:25" ht="12.75">
      <c r="A313" s="36" t="s">
        <v>43</v>
      </c>
      <c r="B313" s="36">
        <v>252</v>
      </c>
      <c r="C313" s="36"/>
      <c r="D313" s="36" t="s">
        <v>11</v>
      </c>
      <c r="E313" s="36" t="s">
        <v>173</v>
      </c>
      <c r="F313" s="36">
        <v>22</v>
      </c>
      <c r="G313" s="36">
        <v>17</v>
      </c>
      <c r="H313" s="36"/>
      <c r="I313" s="36"/>
      <c r="J313" s="36">
        <v>69</v>
      </c>
      <c r="K313" s="36">
        <v>53</v>
      </c>
      <c r="L313" s="36"/>
      <c r="M313" s="36"/>
      <c r="N313" s="36">
        <v>18</v>
      </c>
      <c r="O313" s="36">
        <v>4</v>
      </c>
      <c r="P313" s="36">
        <v>6</v>
      </c>
      <c r="Q313" s="36" t="s">
        <v>166</v>
      </c>
      <c r="R313" s="36" t="s">
        <v>396</v>
      </c>
      <c r="S313" s="36" t="s">
        <v>7</v>
      </c>
      <c r="T313" s="36" t="s">
        <v>253</v>
      </c>
      <c r="U313" s="3" t="s">
        <v>191</v>
      </c>
      <c r="V313" s="3" t="s">
        <v>192</v>
      </c>
      <c r="W313" s="3"/>
      <c r="X313" s="3"/>
      <c r="Y313" s="36" t="str">
        <f>HYPERLINK("http://www.stromypodkontrolou.cz/map/?draw_selection_circle=1#%7B%22lat%22%3A%2049.6734430304%2C%20%22lng%22%3A%2018.6703966398%2C%20%22zoom%22%3A%2020%7D")</f>
        <v>http://www.stromypodkontrolou.cz/map/?draw_selection_circle=1#%7B%22lat%22%3A%2049.6734430304%2C%20%22lng%22%3A%2018.6703966398%2C%20%22zoom%22%3A%2020%7D</v>
      </c>
    </row>
    <row r="314" spans="1:25" ht="12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" t="s">
        <v>171</v>
      </c>
      <c r="V314" s="3" t="s">
        <v>172</v>
      </c>
      <c r="W314" s="3"/>
      <c r="X314" s="3"/>
      <c r="Y314" s="36"/>
    </row>
    <row r="315" spans="1:25" ht="12.75">
      <c r="A315" s="36" t="s">
        <v>43</v>
      </c>
      <c r="B315" s="36">
        <v>86</v>
      </c>
      <c r="C315" s="36"/>
      <c r="D315" s="36" t="s">
        <v>46</v>
      </c>
      <c r="E315" s="36" t="s">
        <v>248</v>
      </c>
      <c r="F315" s="36">
        <v>13</v>
      </c>
      <c r="G315" s="36"/>
      <c r="H315" s="36"/>
      <c r="I315" s="36"/>
      <c r="J315" s="36">
        <v>41</v>
      </c>
      <c r="K315" s="36"/>
      <c r="L315" s="36"/>
      <c r="M315" s="36"/>
      <c r="N315" s="36">
        <v>8</v>
      </c>
      <c r="O315" s="36">
        <v>2</v>
      </c>
      <c r="P315" s="36">
        <v>3</v>
      </c>
      <c r="Q315" s="36" t="s">
        <v>181</v>
      </c>
      <c r="R315" s="36" t="s">
        <v>196</v>
      </c>
      <c r="S315" s="36" t="s">
        <v>7</v>
      </c>
      <c r="T315" s="36" t="s">
        <v>244</v>
      </c>
      <c r="U315" s="3" t="s">
        <v>169</v>
      </c>
      <c r="V315" s="3" t="s">
        <v>170</v>
      </c>
      <c r="W315" s="3"/>
      <c r="X315" s="3"/>
      <c r="Y315" s="36" t="str">
        <f>HYPERLINK("http://www.stromypodkontrolou.cz/map/?draw_selection_circle=1#%7B%22lat%22%3A%2049.6750680160365%2C%20%22lng%22%3A%2018.6692997934478%2C%20%22zoom%22%3A%2020%7D")</f>
        <v>http://www.stromypodkontrolou.cz/map/?draw_selection_circle=1#%7B%22lat%22%3A%2049.6750680160365%2C%20%22lng%22%3A%2018.6692997934478%2C%20%22zoom%22%3A%2020%7D</v>
      </c>
    </row>
    <row r="316" spans="1:25" ht="12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" t="s">
        <v>171</v>
      </c>
      <c r="V316" s="3" t="s">
        <v>172</v>
      </c>
      <c r="W316" s="3"/>
      <c r="X316" s="3"/>
      <c r="Y316" s="36"/>
    </row>
    <row r="317" spans="1:25" ht="12.75">
      <c r="A317" s="36" t="s">
        <v>115</v>
      </c>
      <c r="B317" s="36">
        <v>99</v>
      </c>
      <c r="C317" s="36"/>
      <c r="D317" s="36" t="s">
        <v>24</v>
      </c>
      <c r="E317" s="36" t="s">
        <v>200</v>
      </c>
      <c r="F317" s="36">
        <v>28</v>
      </c>
      <c r="G317" s="36"/>
      <c r="H317" s="36"/>
      <c r="I317" s="36"/>
      <c r="J317" s="36">
        <v>88</v>
      </c>
      <c r="K317" s="36"/>
      <c r="L317" s="36"/>
      <c r="M317" s="36"/>
      <c r="N317" s="36">
        <v>11</v>
      </c>
      <c r="O317" s="36">
        <v>2</v>
      </c>
      <c r="P317" s="36">
        <v>8</v>
      </c>
      <c r="Q317" s="36" t="s">
        <v>181</v>
      </c>
      <c r="R317" s="36" t="s">
        <v>305</v>
      </c>
      <c r="S317" s="36" t="s">
        <v>189</v>
      </c>
      <c r="T317" s="36" t="s">
        <v>386</v>
      </c>
      <c r="U317" s="3" t="s">
        <v>169</v>
      </c>
      <c r="V317" s="3" t="s">
        <v>170</v>
      </c>
      <c r="W317" s="3"/>
      <c r="X317" s="3"/>
      <c r="Y317" s="36" t="str">
        <f>HYPERLINK("http://www.stromypodkontrolou.cz/map/?draw_selection_circle=1#%7B%22lat%22%3A%2049.6678167151409%2C%20%22lng%22%3A%2018.6819669359793%2C%20%22zoom%22%3A%2020%7D")</f>
        <v>http://www.stromypodkontrolou.cz/map/?draw_selection_circle=1#%7B%22lat%22%3A%2049.6678167151409%2C%20%22lng%22%3A%2018.6819669359793%2C%20%22zoom%22%3A%2020%7D</v>
      </c>
    </row>
    <row r="318" spans="1:25" ht="12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" t="s">
        <v>171</v>
      </c>
      <c r="V318" s="3" t="s">
        <v>172</v>
      </c>
      <c r="W318" s="3"/>
      <c r="X318" s="3"/>
      <c r="Y318" s="36"/>
    </row>
    <row r="319" spans="1:25" ht="12.75">
      <c r="A319" s="36" t="s">
        <v>115</v>
      </c>
      <c r="B319" s="36">
        <v>69</v>
      </c>
      <c r="C319" s="36"/>
      <c r="D319" s="36" t="s">
        <v>28</v>
      </c>
      <c r="E319" s="36" t="s">
        <v>207</v>
      </c>
      <c r="F319" s="36">
        <v>20</v>
      </c>
      <c r="G319" s="36">
        <v>17</v>
      </c>
      <c r="H319" s="36"/>
      <c r="I319" s="36"/>
      <c r="J319" s="36">
        <v>63</v>
      </c>
      <c r="K319" s="36">
        <v>53</v>
      </c>
      <c r="L319" s="36"/>
      <c r="M319" s="36"/>
      <c r="N319" s="36">
        <v>10</v>
      </c>
      <c r="O319" s="36">
        <v>1</v>
      </c>
      <c r="P319" s="36">
        <v>2</v>
      </c>
      <c r="Q319" s="36" t="s">
        <v>166</v>
      </c>
      <c r="R319" s="36" t="s">
        <v>397</v>
      </c>
      <c r="S319" s="36" t="s">
        <v>189</v>
      </c>
      <c r="T319" s="36" t="s">
        <v>386</v>
      </c>
      <c r="U319" s="3" t="s">
        <v>218</v>
      </c>
      <c r="V319" s="3" t="s">
        <v>219</v>
      </c>
      <c r="W319" s="3"/>
      <c r="X319" s="3"/>
      <c r="Y319" s="36" t="str">
        <f>HYPERLINK("http://www.stromypodkontrolou.cz/map/?draw_selection_circle=1#%7B%22lat%22%3A%2049.6678347327%2C%20%22lng%22%3A%2018.6807857095%2C%20%22zoom%22%3A%2020%7D")</f>
        <v>http://www.stromypodkontrolou.cz/map/?draw_selection_circle=1#%7B%22lat%22%3A%2049.6678347327%2C%20%22lng%22%3A%2018.6807857095%2C%20%22zoom%22%3A%2020%7D</v>
      </c>
    </row>
    <row r="320" spans="1:25" ht="12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" t="s">
        <v>171</v>
      </c>
      <c r="V320" s="3" t="s">
        <v>172</v>
      </c>
      <c r="W320" s="3"/>
      <c r="X320" s="3"/>
      <c r="Y320" s="36"/>
    </row>
    <row r="321" spans="1:25" ht="12.75">
      <c r="A321" s="36" t="s">
        <v>49</v>
      </c>
      <c r="B321" s="36">
        <v>91</v>
      </c>
      <c r="C321" s="36"/>
      <c r="D321" s="36" t="s">
        <v>11</v>
      </c>
      <c r="E321" s="36" t="s">
        <v>173</v>
      </c>
      <c r="F321" s="36">
        <v>45</v>
      </c>
      <c r="G321" s="36"/>
      <c r="H321" s="36"/>
      <c r="I321" s="36"/>
      <c r="J321" s="36">
        <v>141</v>
      </c>
      <c r="K321" s="36"/>
      <c r="L321" s="36"/>
      <c r="M321" s="36"/>
      <c r="N321" s="36">
        <v>19</v>
      </c>
      <c r="O321" s="36">
        <v>3</v>
      </c>
      <c r="P321" s="36">
        <v>10</v>
      </c>
      <c r="Q321" s="36" t="s">
        <v>181</v>
      </c>
      <c r="R321" s="36" t="s">
        <v>398</v>
      </c>
      <c r="S321" s="36" t="s">
        <v>189</v>
      </c>
      <c r="T321" s="36" t="s">
        <v>255</v>
      </c>
      <c r="U321" s="3" t="s">
        <v>218</v>
      </c>
      <c r="V321" s="3" t="s">
        <v>219</v>
      </c>
      <c r="W321" s="3"/>
      <c r="X321" s="3"/>
      <c r="Y321" s="36" t="str">
        <f>HYPERLINK("http://www.stromypodkontrolou.cz/map/?draw_selection_circle=1#%7B%22lat%22%3A%2049.6680043991716%2C%20%22lng%22%3A%2018.6799862561902%2C%20%22zoom%22%3A%2020%7D")</f>
        <v>http://www.stromypodkontrolou.cz/map/?draw_selection_circle=1#%7B%22lat%22%3A%2049.6680043991716%2C%20%22lng%22%3A%2018.6799862561902%2C%20%22zoom%22%3A%2020%7D</v>
      </c>
    </row>
    <row r="322" spans="1:25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" t="s">
        <v>171</v>
      </c>
      <c r="V322" s="3" t="s">
        <v>172</v>
      </c>
      <c r="W322" s="3"/>
      <c r="X322" s="3"/>
      <c r="Y322" s="36"/>
    </row>
    <row r="323" spans="1:25" ht="12.75">
      <c r="A323" s="36" t="s">
        <v>73</v>
      </c>
      <c r="B323" s="36">
        <v>1</v>
      </c>
      <c r="C323" s="36"/>
      <c r="D323" s="36" t="s">
        <v>44</v>
      </c>
      <c r="E323" s="36" t="s">
        <v>242</v>
      </c>
      <c r="F323" s="36">
        <v>23</v>
      </c>
      <c r="G323" s="36"/>
      <c r="H323" s="36"/>
      <c r="I323" s="36"/>
      <c r="J323" s="36">
        <v>72</v>
      </c>
      <c r="K323" s="36"/>
      <c r="L323" s="36"/>
      <c r="M323" s="36"/>
      <c r="N323" s="36">
        <v>8</v>
      </c>
      <c r="O323" s="36">
        <v>1</v>
      </c>
      <c r="P323" s="36">
        <v>5</v>
      </c>
      <c r="Q323" s="36" t="s">
        <v>166</v>
      </c>
      <c r="R323" s="36" t="s">
        <v>399</v>
      </c>
      <c r="S323" s="36" t="s">
        <v>189</v>
      </c>
      <c r="T323" s="36" t="s">
        <v>354</v>
      </c>
      <c r="U323" s="3" t="s">
        <v>169</v>
      </c>
      <c r="V323" s="3" t="s">
        <v>170</v>
      </c>
      <c r="W323" s="3"/>
      <c r="X323" s="3"/>
      <c r="Y323" s="36" t="str">
        <f>HYPERLINK("http://www.stromypodkontrolou.cz/map/?draw_selection_circle=1#%7B%22lat%22%3A%2049.6654397393%2C%20%22lng%22%3A%2018.6774091572%2C%20%22zoom%22%3A%2020%7D")</f>
        <v>http://www.stromypodkontrolou.cz/map/?draw_selection_circle=1#%7B%22lat%22%3A%2049.6654397393%2C%20%22lng%22%3A%2018.6774091572%2C%20%22zoom%22%3A%2020%7D</v>
      </c>
    </row>
    <row r="324" spans="1:25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" t="s">
        <v>171</v>
      </c>
      <c r="V324" s="3" t="s">
        <v>172</v>
      </c>
      <c r="W324" s="3"/>
      <c r="X324" s="3"/>
      <c r="Y324" s="36"/>
    </row>
    <row r="325" spans="1:25" ht="12.75">
      <c r="A325" s="36" t="s">
        <v>81</v>
      </c>
      <c r="B325" s="36">
        <v>88</v>
      </c>
      <c r="C325" s="36"/>
      <c r="D325" s="36" t="s">
        <v>72</v>
      </c>
      <c r="E325" s="36" t="s">
        <v>292</v>
      </c>
      <c r="F325" s="36">
        <v>20</v>
      </c>
      <c r="G325" s="36"/>
      <c r="H325" s="36"/>
      <c r="I325" s="36"/>
      <c r="J325" s="36">
        <v>63</v>
      </c>
      <c r="K325" s="36"/>
      <c r="L325" s="36"/>
      <c r="M325" s="36"/>
      <c r="N325" s="36">
        <v>7</v>
      </c>
      <c r="O325" s="36">
        <v>0</v>
      </c>
      <c r="P325" s="36">
        <v>4</v>
      </c>
      <c r="Q325" s="36" t="s">
        <v>179</v>
      </c>
      <c r="R325" s="36" t="s">
        <v>196</v>
      </c>
      <c r="S325" s="36" t="s">
        <v>189</v>
      </c>
      <c r="T325" s="36" t="s">
        <v>334</v>
      </c>
      <c r="U325" s="3" t="s">
        <v>171</v>
      </c>
      <c r="V325" s="3" t="s">
        <v>172</v>
      </c>
      <c r="W325" s="3"/>
      <c r="X325" s="3"/>
      <c r="Y325" s="36" t="str">
        <f>HYPERLINK("http://www.stromypodkontrolou.cz/map/?draw_selection_circle=1#%7B%22lat%22%3A%2049.6684993301368%2C%20%22lng%22%3A%2018.6735900284393%2C%20%22zoom%22%3A%2020%7D")</f>
        <v>http://www.stromypodkontrolou.cz/map/?draw_selection_circle=1#%7B%22lat%22%3A%2049.6684993301368%2C%20%22lng%22%3A%2018.6735900284393%2C%20%22zoom%22%3A%2020%7D</v>
      </c>
    </row>
    <row r="326" spans="1:25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" t="s">
        <v>169</v>
      </c>
      <c r="V326" s="3" t="s">
        <v>170</v>
      </c>
      <c r="W326" s="3"/>
      <c r="X326" s="3"/>
      <c r="Y326" s="36"/>
    </row>
    <row r="327" spans="1:25" ht="12.75">
      <c r="A327" s="36" t="s">
        <v>25</v>
      </c>
      <c r="B327" s="36">
        <v>161</v>
      </c>
      <c r="C327" s="36"/>
      <c r="D327" s="36" t="s">
        <v>118</v>
      </c>
      <c r="E327" s="36" t="s">
        <v>400</v>
      </c>
      <c r="F327" s="36">
        <v>18</v>
      </c>
      <c r="G327" s="36"/>
      <c r="H327" s="36"/>
      <c r="I327" s="36"/>
      <c r="J327" s="36">
        <v>57</v>
      </c>
      <c r="K327" s="36"/>
      <c r="L327" s="36"/>
      <c r="M327" s="36"/>
      <c r="N327" s="36">
        <v>5</v>
      </c>
      <c r="O327" s="36">
        <v>1</v>
      </c>
      <c r="P327" s="36">
        <v>4</v>
      </c>
      <c r="Q327" s="36" t="s">
        <v>181</v>
      </c>
      <c r="R327" s="36" t="s">
        <v>401</v>
      </c>
      <c r="S327" s="36" t="s">
        <v>189</v>
      </c>
      <c r="T327" s="36" t="s">
        <v>402</v>
      </c>
      <c r="U327" s="3" t="s">
        <v>169</v>
      </c>
      <c r="V327" s="3" t="s">
        <v>170</v>
      </c>
      <c r="W327" s="3"/>
      <c r="X327" s="3"/>
      <c r="Y327" s="36" t="str">
        <f>HYPERLINK("http://www.stromypodkontrolou.cz/map/?draw_selection_circle=1#%7B%22lat%22%3A%2049.667165367329%2C%20%22lng%22%3A%2018.672871266508%2C%20%22zoom%22%3A%2020%7D")</f>
        <v>http://www.stromypodkontrolou.cz/map/?draw_selection_circle=1#%7B%22lat%22%3A%2049.667165367329%2C%20%22lng%22%3A%2018.672871266508%2C%20%22zoom%22%3A%2020%7D</v>
      </c>
    </row>
    <row r="328" spans="1:25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" t="s">
        <v>171</v>
      </c>
      <c r="V328" s="3" t="s">
        <v>172</v>
      </c>
      <c r="W328" s="3"/>
      <c r="X328" s="3"/>
      <c r="Y328" s="36"/>
    </row>
    <row r="329" spans="1:25" ht="12.75">
      <c r="A329" s="36" t="s">
        <v>25</v>
      </c>
      <c r="B329" s="36">
        <v>167</v>
      </c>
      <c r="C329" s="36"/>
      <c r="D329" s="36" t="s">
        <v>70</v>
      </c>
      <c r="E329" s="36" t="s">
        <v>285</v>
      </c>
      <c r="F329" s="36">
        <v>25</v>
      </c>
      <c r="G329" s="36"/>
      <c r="H329" s="36"/>
      <c r="I329" s="36"/>
      <c r="J329" s="36">
        <v>79</v>
      </c>
      <c r="K329" s="36"/>
      <c r="L329" s="36"/>
      <c r="M329" s="36"/>
      <c r="N329" s="36">
        <v>9</v>
      </c>
      <c r="O329" s="36">
        <v>2</v>
      </c>
      <c r="P329" s="36">
        <v>8</v>
      </c>
      <c r="Q329" s="36" t="s">
        <v>166</v>
      </c>
      <c r="R329" s="36" t="s">
        <v>305</v>
      </c>
      <c r="S329" s="36" t="s">
        <v>189</v>
      </c>
      <c r="T329" s="36" t="s">
        <v>402</v>
      </c>
      <c r="U329" s="3" t="s">
        <v>169</v>
      </c>
      <c r="V329" s="3" t="s">
        <v>170</v>
      </c>
      <c r="W329" s="3"/>
      <c r="X329" s="3"/>
      <c r="Y329" s="36" t="str">
        <f>HYPERLINK("http://www.stromypodkontrolou.cz/map/?draw_selection_circle=1#%7B%22lat%22%3A%2049.6672107563474%2C%20%22lng%22%3A%2018.6721073920371%2C%20%22zoom%22%3A%2020%7D")</f>
        <v>http://www.stromypodkontrolou.cz/map/?draw_selection_circle=1#%7B%22lat%22%3A%2049.6672107563474%2C%20%22lng%22%3A%2018.6721073920371%2C%20%22zoom%22%3A%2020%7D</v>
      </c>
    </row>
    <row r="330" spans="1:25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" t="s">
        <v>171</v>
      </c>
      <c r="V330" s="3" t="s">
        <v>172</v>
      </c>
      <c r="W330" s="3"/>
      <c r="X330" s="3"/>
      <c r="Y330" s="36"/>
    </row>
    <row r="331" spans="1:25" ht="12.75">
      <c r="A331" s="36" t="s">
        <v>81</v>
      </c>
      <c r="B331" s="36">
        <v>460</v>
      </c>
      <c r="C331" s="36"/>
      <c r="D331" s="36" t="s">
        <v>114</v>
      </c>
      <c r="E331" s="36" t="s">
        <v>381</v>
      </c>
      <c r="F331" s="36">
        <v>17</v>
      </c>
      <c r="G331" s="36"/>
      <c r="H331" s="36"/>
      <c r="I331" s="36"/>
      <c r="J331" s="36">
        <v>53</v>
      </c>
      <c r="K331" s="36"/>
      <c r="L331" s="36"/>
      <c r="M331" s="36"/>
      <c r="N331" s="36">
        <v>6</v>
      </c>
      <c r="O331" s="36">
        <v>2</v>
      </c>
      <c r="P331" s="36">
        <v>7</v>
      </c>
      <c r="Q331" s="36" t="s">
        <v>301</v>
      </c>
      <c r="R331" s="36" t="s">
        <v>403</v>
      </c>
      <c r="S331" s="36" t="s">
        <v>189</v>
      </c>
      <c r="T331" s="36" t="s">
        <v>327</v>
      </c>
      <c r="U331" s="3" t="s">
        <v>169</v>
      </c>
      <c r="V331" s="3" t="s">
        <v>170</v>
      </c>
      <c r="W331" s="3"/>
      <c r="X331" s="3"/>
      <c r="Y331" s="36" t="str">
        <f>HYPERLINK("http://www.stromypodkontrolou.cz/map/?draw_selection_circle=1#%7B%22lat%22%3A%2049.6701302259917%2C%20%22lng%22%3A%2018.6729428434721%2C%20%22zoom%22%3A%2020%7D")</f>
        <v>http://www.stromypodkontrolou.cz/map/?draw_selection_circle=1#%7B%22lat%22%3A%2049.6701302259917%2C%20%22lng%22%3A%2018.6729428434721%2C%20%22zoom%22%3A%2020%7D</v>
      </c>
    </row>
    <row r="332" spans="1:25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" t="s">
        <v>171</v>
      </c>
      <c r="V332" s="3" t="s">
        <v>172</v>
      </c>
      <c r="W332" s="3"/>
      <c r="X332" s="3"/>
      <c r="Y332" s="36"/>
    </row>
    <row r="333" spans="1:25" ht="12.75">
      <c r="A333" s="36" t="s">
        <v>25</v>
      </c>
      <c r="B333" s="36">
        <v>48</v>
      </c>
      <c r="C333" s="36"/>
      <c r="D333" s="36" t="s">
        <v>72</v>
      </c>
      <c r="E333" s="36" t="s">
        <v>292</v>
      </c>
      <c r="F333" s="36">
        <v>13</v>
      </c>
      <c r="G333" s="36"/>
      <c r="H333" s="36"/>
      <c r="I333" s="36"/>
      <c r="J333" s="36">
        <v>41</v>
      </c>
      <c r="K333" s="36"/>
      <c r="L333" s="36"/>
      <c r="M333" s="36"/>
      <c r="N333" s="36">
        <v>5</v>
      </c>
      <c r="O333" s="36">
        <v>0</v>
      </c>
      <c r="P333" s="36">
        <v>3</v>
      </c>
      <c r="Q333" s="36" t="s">
        <v>166</v>
      </c>
      <c r="R333" s="36" t="s">
        <v>377</v>
      </c>
      <c r="S333" s="36" t="s">
        <v>189</v>
      </c>
      <c r="T333" s="36" t="s">
        <v>203</v>
      </c>
      <c r="U333" s="3" t="s">
        <v>171</v>
      </c>
      <c r="V333" s="3" t="s">
        <v>172</v>
      </c>
      <c r="W333" s="3"/>
      <c r="X333" s="3"/>
      <c r="Y333" s="36" t="str">
        <f>HYPERLINK("http://www.stromypodkontrolou.cz/map/?draw_selection_circle=1#%7B%22lat%22%3A%2049.6637111072771%2C%20%22lng%22%3A%2018.6729343234549%2C%20%22zoom%22%3A%2020%7D")</f>
        <v>http://www.stromypodkontrolou.cz/map/?draw_selection_circle=1#%7B%22lat%22%3A%2049.6637111072771%2C%20%22lng%22%3A%2018.6729343234549%2C%20%22zoom%22%3A%2020%7D</v>
      </c>
    </row>
    <row r="334" spans="1:25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" t="s">
        <v>169</v>
      </c>
      <c r="V334" s="3" t="s">
        <v>170</v>
      </c>
      <c r="W334" s="3"/>
      <c r="X334" s="3"/>
      <c r="Y334" s="36"/>
    </row>
    <row r="335" spans="1:25" ht="12.75">
      <c r="A335" s="36" t="s">
        <v>25</v>
      </c>
      <c r="B335" s="36">
        <v>46</v>
      </c>
      <c r="C335" s="36"/>
      <c r="D335" s="36" t="s">
        <v>39</v>
      </c>
      <c r="E335" s="36" t="s">
        <v>235</v>
      </c>
      <c r="F335" s="36">
        <v>17</v>
      </c>
      <c r="G335" s="36"/>
      <c r="H335" s="36"/>
      <c r="I335" s="36"/>
      <c r="J335" s="36">
        <v>53</v>
      </c>
      <c r="K335" s="36"/>
      <c r="L335" s="36"/>
      <c r="M335" s="36"/>
      <c r="N335" s="36">
        <v>10</v>
      </c>
      <c r="O335" s="36">
        <v>0</v>
      </c>
      <c r="P335" s="36">
        <v>5</v>
      </c>
      <c r="Q335" s="36" t="s">
        <v>179</v>
      </c>
      <c r="R335" s="36"/>
      <c r="S335" s="36" t="s">
        <v>189</v>
      </c>
      <c r="T335" s="36" t="s">
        <v>203</v>
      </c>
      <c r="U335" s="3" t="s">
        <v>169</v>
      </c>
      <c r="V335" s="3" t="s">
        <v>170</v>
      </c>
      <c r="W335" s="3"/>
      <c r="X335" s="3"/>
      <c r="Y335" s="36" t="str">
        <f>HYPERLINK("http://www.stromypodkontrolou.cz/map/?draw_selection_circle=1#%7B%22lat%22%3A%2049.66361525%2C%20%22lng%22%3A%2018.672905747%2C%20%22zoom%22%3A%2020%7D")</f>
        <v>http://www.stromypodkontrolou.cz/map/?draw_selection_circle=1#%7B%22lat%22%3A%2049.66361525%2C%20%22lng%22%3A%2018.672905747%2C%20%22zoom%22%3A%2020%7D</v>
      </c>
    </row>
    <row r="336" spans="1:25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" t="s">
        <v>171</v>
      </c>
      <c r="V336" s="3" t="s">
        <v>172</v>
      </c>
      <c r="W336" s="3"/>
      <c r="X336" s="3"/>
      <c r="Y336" s="36"/>
    </row>
    <row r="337" spans="1:25" ht="12.75">
      <c r="A337" s="36" t="s">
        <v>119</v>
      </c>
      <c r="B337" s="36">
        <v>12</v>
      </c>
      <c r="C337" s="36"/>
      <c r="D337" s="36" t="s">
        <v>57</v>
      </c>
      <c r="E337" s="36" t="s">
        <v>261</v>
      </c>
      <c r="F337" s="36">
        <v>22</v>
      </c>
      <c r="G337" s="36"/>
      <c r="H337" s="36"/>
      <c r="I337" s="36"/>
      <c r="J337" s="36">
        <v>69</v>
      </c>
      <c r="K337" s="36"/>
      <c r="L337" s="36"/>
      <c r="M337" s="36"/>
      <c r="N337" s="36">
        <v>8</v>
      </c>
      <c r="O337" s="36">
        <v>2</v>
      </c>
      <c r="P337" s="36">
        <v>6</v>
      </c>
      <c r="Q337" s="36" t="s">
        <v>166</v>
      </c>
      <c r="R337" s="36" t="s">
        <v>404</v>
      </c>
      <c r="S337" s="36" t="s">
        <v>189</v>
      </c>
      <c r="T337" s="36" t="s">
        <v>405</v>
      </c>
      <c r="U337" s="3" t="s">
        <v>169</v>
      </c>
      <c r="V337" s="3" t="s">
        <v>170</v>
      </c>
      <c r="W337" s="3"/>
      <c r="X337" s="3"/>
      <c r="Y337" s="36" t="str">
        <f>HYPERLINK("http://www.stromypodkontrolou.cz/map/?draw_selection_circle=1#%7B%22lat%22%3A%2049.6633216732%2C%20%22lng%22%3A%2018.6752900132%2C%20%22zoom%22%3A%2020%7D")</f>
        <v>http://www.stromypodkontrolou.cz/map/?draw_selection_circle=1#%7B%22lat%22%3A%2049.6633216732%2C%20%22lng%22%3A%2018.6752900132%2C%20%22zoom%22%3A%2020%7D</v>
      </c>
    </row>
    <row r="338" spans="1:25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" t="s">
        <v>171</v>
      </c>
      <c r="V338" s="3" t="s">
        <v>172</v>
      </c>
      <c r="W338" s="3"/>
      <c r="X338" s="3"/>
      <c r="Y338" s="36"/>
    </row>
    <row r="339" spans="1:25" ht="12.75">
      <c r="A339" s="36" t="s">
        <v>81</v>
      </c>
      <c r="B339" s="36">
        <v>168</v>
      </c>
      <c r="C339" s="36"/>
      <c r="D339" s="36" t="s">
        <v>11</v>
      </c>
      <c r="E339" s="36" t="s">
        <v>173</v>
      </c>
      <c r="F339" s="36">
        <v>17</v>
      </c>
      <c r="G339" s="36"/>
      <c r="H339" s="36"/>
      <c r="I339" s="36"/>
      <c r="J339" s="36">
        <v>53</v>
      </c>
      <c r="K339" s="36"/>
      <c r="L339" s="36"/>
      <c r="M339" s="36"/>
      <c r="N339" s="36">
        <v>12</v>
      </c>
      <c r="O339" s="36">
        <v>3</v>
      </c>
      <c r="P339" s="36">
        <v>5</v>
      </c>
      <c r="Q339" s="36" t="s">
        <v>179</v>
      </c>
      <c r="R339" s="36"/>
      <c r="S339" s="36" t="s">
        <v>189</v>
      </c>
      <c r="T339" s="36" t="s">
        <v>406</v>
      </c>
      <c r="U339" s="3" t="s">
        <v>169</v>
      </c>
      <c r="V339" s="3" t="s">
        <v>170</v>
      </c>
      <c r="W339" s="3"/>
      <c r="X339" s="3"/>
      <c r="Y339" s="36" t="str">
        <f>HYPERLINK("http://www.stromypodkontrolou.cz/map/?draw_selection_circle=1#%7B%22lat%22%3A%2049.6674261452%2C%20%22lng%22%3A%2018.6734372025%2C%20%22zoom%22%3A%2020%7D")</f>
        <v>http://www.stromypodkontrolou.cz/map/?draw_selection_circle=1#%7B%22lat%22%3A%2049.6674261452%2C%20%22lng%22%3A%2018.6734372025%2C%20%22zoom%22%3A%2020%7D</v>
      </c>
    </row>
    <row r="340" spans="1:25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" t="s">
        <v>171</v>
      </c>
      <c r="V340" s="3" t="s">
        <v>172</v>
      </c>
      <c r="W340" s="3"/>
      <c r="X340" s="3"/>
      <c r="Y340" s="36"/>
    </row>
    <row r="341" spans="1:25" ht="12.75">
      <c r="A341" s="36" t="s">
        <v>26</v>
      </c>
      <c r="B341" s="36">
        <v>18</v>
      </c>
      <c r="C341" s="36"/>
      <c r="D341" s="36" t="s">
        <v>44</v>
      </c>
      <c r="E341" s="36" t="s">
        <v>242</v>
      </c>
      <c r="F341" s="36">
        <v>23</v>
      </c>
      <c r="G341" s="36"/>
      <c r="H341" s="36"/>
      <c r="I341" s="36"/>
      <c r="J341" s="36">
        <v>72</v>
      </c>
      <c r="K341" s="36"/>
      <c r="L341" s="36"/>
      <c r="M341" s="36"/>
      <c r="N341" s="36">
        <v>11</v>
      </c>
      <c r="O341" s="36">
        <v>2</v>
      </c>
      <c r="P341" s="36">
        <v>6</v>
      </c>
      <c r="Q341" s="36" t="s">
        <v>166</v>
      </c>
      <c r="R341" s="36"/>
      <c r="S341" s="36" t="s">
        <v>189</v>
      </c>
      <c r="T341" s="36" t="s">
        <v>206</v>
      </c>
      <c r="U341" s="3" t="s">
        <v>169</v>
      </c>
      <c r="V341" s="3" t="s">
        <v>170</v>
      </c>
      <c r="W341" s="3"/>
      <c r="X341" s="3"/>
      <c r="Y341" s="36" t="str">
        <f>HYPERLINK("http://www.stromypodkontrolou.cz/map/?draw_selection_circle=1#%7B%22lat%22%3A%2049.6638241542%2C%20%22lng%22%3A%2018.6745329073%2C%20%22zoom%22%3A%2020%7D")</f>
        <v>http://www.stromypodkontrolou.cz/map/?draw_selection_circle=1#%7B%22lat%22%3A%2049.6638241542%2C%20%22lng%22%3A%2018.6745329073%2C%20%22zoom%22%3A%2020%7D</v>
      </c>
    </row>
    <row r="342" spans="1:25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" t="s">
        <v>171</v>
      </c>
      <c r="V342" s="3" t="s">
        <v>172</v>
      </c>
      <c r="W342" s="3"/>
      <c r="X342" s="3"/>
      <c r="Y342" s="36"/>
    </row>
    <row r="343" spans="1:25" ht="12.75">
      <c r="A343" s="36" t="s">
        <v>120</v>
      </c>
      <c r="B343" s="36">
        <v>1</v>
      </c>
      <c r="C343" s="36"/>
      <c r="D343" s="36" t="s">
        <v>121</v>
      </c>
      <c r="E343" s="36" t="s">
        <v>407</v>
      </c>
      <c r="F343" s="36">
        <v>20</v>
      </c>
      <c r="G343" s="36"/>
      <c r="H343" s="36"/>
      <c r="I343" s="36"/>
      <c r="J343" s="36">
        <v>63</v>
      </c>
      <c r="K343" s="36"/>
      <c r="L343" s="36"/>
      <c r="M343" s="36"/>
      <c r="N343" s="36">
        <v>11</v>
      </c>
      <c r="O343" s="36">
        <v>1</v>
      </c>
      <c r="P343" s="36">
        <v>5</v>
      </c>
      <c r="Q343" s="36" t="s">
        <v>179</v>
      </c>
      <c r="R343" s="36" t="s">
        <v>408</v>
      </c>
      <c r="S343" s="36" t="s">
        <v>7</v>
      </c>
      <c r="T343" s="36" t="s">
        <v>409</v>
      </c>
      <c r="U343" s="3" t="s">
        <v>169</v>
      </c>
      <c r="V343" s="3" t="s">
        <v>170</v>
      </c>
      <c r="W343" s="3"/>
      <c r="X343" s="3"/>
      <c r="Y343" s="36" t="str">
        <f>HYPERLINK("http://www.stromypodkontrolou.cz/map/?draw_selection_circle=1#%7B%22lat%22%3A%2049.6827902522974%2C%20%22lng%22%3A%2018.6680686798675%2C%20%22zoom%22%3A%2020%7D")</f>
        <v>http://www.stromypodkontrolou.cz/map/?draw_selection_circle=1#%7B%22lat%22%3A%2049.6827902522974%2C%20%22lng%22%3A%2018.6680686798675%2C%20%22zoom%22%3A%2020%7D</v>
      </c>
    </row>
    <row r="344" spans="1:25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" t="s">
        <v>171</v>
      </c>
      <c r="V344" s="3" t="s">
        <v>172</v>
      </c>
      <c r="W344" s="3"/>
      <c r="X344" s="3"/>
      <c r="Y344" s="36"/>
    </row>
    <row r="345" spans="1:25" ht="12.75">
      <c r="A345" s="36" t="s">
        <v>25</v>
      </c>
      <c r="B345" s="36">
        <v>107</v>
      </c>
      <c r="C345" s="36"/>
      <c r="D345" s="36" t="s">
        <v>24</v>
      </c>
      <c r="E345" s="36" t="s">
        <v>200</v>
      </c>
      <c r="F345" s="36">
        <v>38</v>
      </c>
      <c r="G345" s="36"/>
      <c r="H345" s="36"/>
      <c r="I345" s="36"/>
      <c r="J345" s="36">
        <v>119</v>
      </c>
      <c r="K345" s="36"/>
      <c r="L345" s="36"/>
      <c r="M345" s="36"/>
      <c r="N345" s="36">
        <v>12</v>
      </c>
      <c r="O345" s="36">
        <v>2</v>
      </c>
      <c r="P345" s="36">
        <v>9</v>
      </c>
      <c r="Q345" s="36" t="s">
        <v>181</v>
      </c>
      <c r="R345" s="36" t="s">
        <v>410</v>
      </c>
      <c r="S345" s="36" t="s">
        <v>189</v>
      </c>
      <c r="T345" s="36" t="s">
        <v>203</v>
      </c>
      <c r="U345" s="3" t="s">
        <v>218</v>
      </c>
      <c r="V345" s="3" t="s">
        <v>219</v>
      </c>
      <c r="W345" s="3"/>
      <c r="X345" s="3"/>
      <c r="Y345" s="36" t="str">
        <f>HYPERLINK("http://www.stromypodkontrolou.cz/map/?draw_selection_circle=1#%7B%22lat%22%3A%2049.6654517621877%2C%20%22lng%22%3A%2018.6729796498904%2C%20%22zoom%22%3A%2020%7D")</f>
        <v>http://www.stromypodkontrolou.cz/map/?draw_selection_circle=1#%7B%22lat%22%3A%2049.6654517621877%2C%20%22lng%22%3A%2018.6729796498904%2C%20%22zoom%22%3A%2020%7D</v>
      </c>
    </row>
    <row r="346" spans="1:25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" t="s">
        <v>171</v>
      </c>
      <c r="V346" s="3" t="s">
        <v>172</v>
      </c>
      <c r="W346" s="3"/>
      <c r="X346" s="3"/>
      <c r="Y346" s="36"/>
    </row>
    <row r="347" spans="1:25" ht="12.75">
      <c r="A347" s="3" t="s">
        <v>12</v>
      </c>
      <c r="B347" s="3">
        <v>106</v>
      </c>
      <c r="C347" s="3"/>
      <c r="D347" s="3" t="s">
        <v>70</v>
      </c>
      <c r="E347" s="3" t="s">
        <v>285</v>
      </c>
      <c r="F347" s="3">
        <v>16</v>
      </c>
      <c r="G347" s="3"/>
      <c r="H347" s="3"/>
      <c r="I347" s="3"/>
      <c r="J347" s="3">
        <v>50</v>
      </c>
      <c r="K347" s="3"/>
      <c r="L347" s="3"/>
      <c r="M347" s="3"/>
      <c r="N347" s="3">
        <v>10</v>
      </c>
      <c r="O347" s="3">
        <v>1</v>
      </c>
      <c r="P347" s="3">
        <v>5</v>
      </c>
      <c r="Q347" s="3" t="s">
        <v>166</v>
      </c>
      <c r="R347" s="3" t="s">
        <v>196</v>
      </c>
      <c r="S347" s="3" t="s">
        <v>177</v>
      </c>
      <c r="T347" s="3" t="s">
        <v>411</v>
      </c>
      <c r="U347" s="3" t="s">
        <v>169</v>
      </c>
      <c r="V347" s="3" t="s">
        <v>170</v>
      </c>
      <c r="W347" s="3"/>
      <c r="X347" s="3"/>
      <c r="Y347" s="3" t="str">
        <f>HYPERLINK("http://www.stromypodkontrolou.cz/map/?draw_selection_circle=1#%7B%22lat%22%3A%2049.6805796039705%2C%20%22lng%22%3A%2018.6800676653671%2C%20%22zoom%22%3A%2020%7D")</f>
        <v>http://www.stromypodkontrolou.cz/map/?draw_selection_circle=1#%7B%22lat%22%3A%2049.6805796039705%2C%20%22lng%22%3A%2018.6800676653671%2C%20%22zoom%22%3A%2020%7D</v>
      </c>
    </row>
    <row r="348" spans="1:25" ht="12.75">
      <c r="A348" s="36" t="s">
        <v>12</v>
      </c>
      <c r="B348" s="36">
        <v>142</v>
      </c>
      <c r="C348" s="36"/>
      <c r="D348" s="36" t="s">
        <v>27</v>
      </c>
      <c r="E348" s="36" t="s">
        <v>204</v>
      </c>
      <c r="F348" s="36">
        <v>9</v>
      </c>
      <c r="G348" s="36"/>
      <c r="H348" s="36"/>
      <c r="I348" s="36"/>
      <c r="J348" s="36">
        <v>28</v>
      </c>
      <c r="K348" s="36"/>
      <c r="L348" s="36"/>
      <c r="M348" s="36"/>
      <c r="N348" s="36">
        <v>3</v>
      </c>
      <c r="O348" s="36">
        <v>0</v>
      </c>
      <c r="P348" s="36">
        <v>3</v>
      </c>
      <c r="Q348" s="36" t="s">
        <v>181</v>
      </c>
      <c r="R348" s="36" t="s">
        <v>412</v>
      </c>
      <c r="S348" s="36" t="s">
        <v>177</v>
      </c>
      <c r="T348" s="36" t="s">
        <v>411</v>
      </c>
      <c r="U348" s="3" t="s">
        <v>169</v>
      </c>
      <c r="V348" s="3" t="s">
        <v>170</v>
      </c>
      <c r="W348" s="3"/>
      <c r="X348" s="3"/>
      <c r="Y348" s="36" t="str">
        <f>HYPERLINK("http://www.stromypodkontrolou.cz/map/?draw_selection_circle=1#%7B%22lat%22%3A%2049.6796114429708%2C%20%22lng%22%3A%2018.6796865601852%2C%20%22zoom%22%3A%2020%7D")</f>
        <v>http://www.stromypodkontrolou.cz/map/?draw_selection_circle=1#%7B%22lat%22%3A%2049.6796114429708%2C%20%22lng%22%3A%2018.6796865601852%2C%20%22zoom%22%3A%2020%7D</v>
      </c>
    </row>
    <row r="349" spans="1:25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" t="s">
        <v>171</v>
      </c>
      <c r="V349" s="3" t="s">
        <v>172</v>
      </c>
      <c r="W349" s="3"/>
      <c r="X349" s="3"/>
      <c r="Y349" s="36"/>
    </row>
    <row r="350" spans="1:25" ht="12.75">
      <c r="A350" s="3" t="s">
        <v>12</v>
      </c>
      <c r="B350" s="3">
        <v>146</v>
      </c>
      <c r="C350" s="3"/>
      <c r="D350" s="3" t="s">
        <v>41</v>
      </c>
      <c r="E350" s="3" t="s">
        <v>238</v>
      </c>
      <c r="F350" s="3">
        <v>20</v>
      </c>
      <c r="G350" s="3"/>
      <c r="H350" s="3"/>
      <c r="I350" s="3"/>
      <c r="J350" s="3">
        <v>63</v>
      </c>
      <c r="K350" s="3"/>
      <c r="L350" s="3"/>
      <c r="M350" s="3"/>
      <c r="N350" s="3">
        <v>8</v>
      </c>
      <c r="O350" s="3">
        <v>3</v>
      </c>
      <c r="P350" s="3">
        <v>5</v>
      </c>
      <c r="Q350" s="3" t="s">
        <v>166</v>
      </c>
      <c r="R350" s="3" t="s">
        <v>199</v>
      </c>
      <c r="S350" s="3" t="s">
        <v>177</v>
      </c>
      <c r="T350" s="3" t="s">
        <v>411</v>
      </c>
      <c r="U350" s="3" t="s">
        <v>169</v>
      </c>
      <c r="V350" s="3" t="s">
        <v>170</v>
      </c>
      <c r="W350" s="3"/>
      <c r="X350" s="3"/>
      <c r="Y350" s="3" t="str">
        <f>HYPERLINK("http://www.stromypodkontrolou.cz/map/?draw_selection_circle=1#%7B%22lat%22%3A%2049.6790980907324%2C%20%22lng%22%3A%2018.6803843081072%2C%20%22zoom%22%3A%2020%7D")</f>
        <v>http://www.stromypodkontrolou.cz/map/?draw_selection_circle=1#%7B%22lat%22%3A%2049.6790980907324%2C%20%22lng%22%3A%2018.6803843081072%2C%20%22zoom%22%3A%2020%7D</v>
      </c>
    </row>
    <row r="351" spans="1:25" ht="12.75">
      <c r="A351" s="36" t="s">
        <v>29</v>
      </c>
      <c r="B351" s="36">
        <v>9</v>
      </c>
      <c r="C351" s="36"/>
      <c r="D351" s="36" t="s">
        <v>57</v>
      </c>
      <c r="E351" s="36" t="s">
        <v>261</v>
      </c>
      <c r="F351" s="36">
        <v>25</v>
      </c>
      <c r="G351" s="36"/>
      <c r="H351" s="36"/>
      <c r="I351" s="36"/>
      <c r="J351" s="36">
        <v>79</v>
      </c>
      <c r="K351" s="36"/>
      <c r="L351" s="36"/>
      <c r="M351" s="36"/>
      <c r="N351" s="36">
        <v>9</v>
      </c>
      <c r="O351" s="36">
        <v>1</v>
      </c>
      <c r="P351" s="36">
        <v>4</v>
      </c>
      <c r="Q351" s="36" t="s">
        <v>179</v>
      </c>
      <c r="R351" s="36" t="s">
        <v>413</v>
      </c>
      <c r="S351" s="36" t="s">
        <v>7</v>
      </c>
      <c r="T351" s="36" t="s">
        <v>267</v>
      </c>
      <c r="U351" s="3" t="s">
        <v>169</v>
      </c>
      <c r="V351" s="3" t="s">
        <v>170</v>
      </c>
      <c r="W351" s="3"/>
      <c r="X351" s="3"/>
      <c r="Y351" s="36" t="str">
        <f>HYPERLINK("http://www.stromypodkontrolou.cz/map/?draw_selection_circle=1#%7B%22lat%22%3A%2049.6751465797183%2C%20%22lng%22%3A%2018.6685863184221%2C%20%22zoom%22%3A%2020%7D")</f>
        <v>http://www.stromypodkontrolou.cz/map/?draw_selection_circle=1#%7B%22lat%22%3A%2049.6751465797183%2C%20%22lng%22%3A%2018.6685863184221%2C%20%22zoom%22%3A%2020%7D</v>
      </c>
    </row>
    <row r="352" spans="1:25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" t="s">
        <v>171</v>
      </c>
      <c r="V352" s="3" t="s">
        <v>172</v>
      </c>
      <c r="W352" s="3"/>
      <c r="X352" s="3"/>
      <c r="Y352" s="36"/>
    </row>
    <row r="353" spans="1:25" ht="12.75">
      <c r="A353" s="36" t="s">
        <v>29</v>
      </c>
      <c r="B353" s="36">
        <v>7</v>
      </c>
      <c r="C353" s="36"/>
      <c r="D353" s="36" t="s">
        <v>104</v>
      </c>
      <c r="E353" s="36" t="s">
        <v>344</v>
      </c>
      <c r="F353" s="36">
        <v>27</v>
      </c>
      <c r="G353" s="36"/>
      <c r="H353" s="36"/>
      <c r="I353" s="36"/>
      <c r="J353" s="36">
        <v>85</v>
      </c>
      <c r="K353" s="36"/>
      <c r="L353" s="36"/>
      <c r="M353" s="36"/>
      <c r="N353" s="36">
        <v>8</v>
      </c>
      <c r="O353" s="36">
        <v>3</v>
      </c>
      <c r="P353" s="36">
        <v>6</v>
      </c>
      <c r="Q353" s="36" t="s">
        <v>181</v>
      </c>
      <c r="R353" s="36" t="s">
        <v>414</v>
      </c>
      <c r="S353" s="36" t="s">
        <v>7</v>
      </c>
      <c r="T353" s="36" t="s">
        <v>210</v>
      </c>
      <c r="U353" s="3" t="s">
        <v>169</v>
      </c>
      <c r="V353" s="3" t="s">
        <v>170</v>
      </c>
      <c r="W353" s="3"/>
      <c r="X353" s="3"/>
      <c r="Y353" s="36" t="str">
        <f>HYPERLINK("http://www.stromypodkontrolou.cz/map/?draw_selection_circle=1#%7B%22lat%22%3A%2049.6751490459074%2C%20%22lng%22%3A%2018.6682170686252%2C%20%22zoom%22%3A%2020%7D")</f>
        <v>http://www.stromypodkontrolou.cz/map/?draw_selection_circle=1#%7B%22lat%22%3A%2049.6751490459074%2C%20%22lng%22%3A%2018.6682170686252%2C%20%22zoom%22%3A%2020%7D</v>
      </c>
    </row>
    <row r="354" spans="1:25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" t="s">
        <v>171</v>
      </c>
      <c r="V354" s="3" t="s">
        <v>172</v>
      </c>
      <c r="W354" s="3"/>
      <c r="X354" s="3"/>
      <c r="Y354" s="36"/>
    </row>
    <row r="355" spans="1:25" ht="12.75">
      <c r="A355" s="3" t="s">
        <v>122</v>
      </c>
      <c r="B355" s="3">
        <v>35</v>
      </c>
      <c r="C355" s="3"/>
      <c r="D355" s="3" t="s">
        <v>108</v>
      </c>
      <c r="E355" s="3" t="s">
        <v>351</v>
      </c>
      <c r="F355" s="3">
        <v>11</v>
      </c>
      <c r="G355" s="3"/>
      <c r="H355" s="3"/>
      <c r="I355" s="3"/>
      <c r="J355" s="3">
        <v>35</v>
      </c>
      <c r="K355" s="3"/>
      <c r="L355" s="3"/>
      <c r="M355" s="3"/>
      <c r="N355" s="3">
        <v>11</v>
      </c>
      <c r="O355" s="3">
        <v>4</v>
      </c>
      <c r="P355" s="3">
        <v>4</v>
      </c>
      <c r="Q355" s="3" t="s">
        <v>166</v>
      </c>
      <c r="R355" s="3"/>
      <c r="S355" s="3" t="s">
        <v>7</v>
      </c>
      <c r="T355" s="3" t="s">
        <v>415</v>
      </c>
      <c r="U355" s="3" t="s">
        <v>169</v>
      </c>
      <c r="V355" s="3" t="s">
        <v>170</v>
      </c>
      <c r="W355" s="3"/>
      <c r="X355" s="3"/>
      <c r="Y355" s="3" t="str">
        <f>HYPERLINK("http://www.stromypodkontrolou.cz/map/?draw_selection_circle=1#%7B%22lat%22%3A%2049.6820535218418%2C%20%22lng%22%3A%2018.6739754018305%2C%20%22zoom%22%3A%2020%7D")</f>
        <v>http://www.stromypodkontrolou.cz/map/?draw_selection_circle=1#%7B%22lat%22%3A%2049.6820535218418%2C%20%22lng%22%3A%2018.6739754018305%2C%20%22zoom%22%3A%2020%7D</v>
      </c>
    </row>
    <row r="356" spans="1:25" ht="12.75">
      <c r="A356" s="3" t="s">
        <v>16</v>
      </c>
      <c r="B356" s="3">
        <v>67</v>
      </c>
      <c r="C356" s="3"/>
      <c r="D356" s="3" t="s">
        <v>17</v>
      </c>
      <c r="E356" s="3" t="s">
        <v>185</v>
      </c>
      <c r="F356" s="3">
        <v>22</v>
      </c>
      <c r="G356" s="3"/>
      <c r="H356" s="3"/>
      <c r="I356" s="3"/>
      <c r="J356" s="3">
        <v>69</v>
      </c>
      <c r="K356" s="3"/>
      <c r="L356" s="3"/>
      <c r="M356" s="3"/>
      <c r="N356" s="3">
        <v>5</v>
      </c>
      <c r="O356" s="3">
        <v>2</v>
      </c>
      <c r="P356" s="3">
        <v>6</v>
      </c>
      <c r="Q356" s="3" t="s">
        <v>181</v>
      </c>
      <c r="R356" s="3" t="s">
        <v>416</v>
      </c>
      <c r="S356" s="3" t="s">
        <v>7</v>
      </c>
      <c r="T356" s="3" t="s">
        <v>417</v>
      </c>
      <c r="U356" s="3" t="s">
        <v>169</v>
      </c>
      <c r="V356" s="3" t="s">
        <v>170</v>
      </c>
      <c r="W356" s="3"/>
      <c r="X356" s="3"/>
      <c r="Y356" s="3" t="str">
        <f>HYPERLINK("http://www.stromypodkontrolou.cz/map/?draw_selection_circle=1#%7B%22lat%22%3A%2049.6712341555608%2C%20%22lng%22%3A%2018.6698026176961%2C%20%22zoom%22%3A%2020%7D")</f>
        <v>http://www.stromypodkontrolou.cz/map/?draw_selection_circle=1#%7B%22lat%22%3A%2049.6712341555608%2C%20%22lng%22%3A%2018.6698026176961%2C%20%22zoom%22%3A%2020%7D</v>
      </c>
    </row>
    <row r="357" spans="1:25" ht="12.75">
      <c r="A357" s="36" t="s">
        <v>16</v>
      </c>
      <c r="B357" s="36">
        <v>68</v>
      </c>
      <c r="C357" s="36"/>
      <c r="D357" s="36" t="s">
        <v>17</v>
      </c>
      <c r="E357" s="36" t="s">
        <v>185</v>
      </c>
      <c r="F357" s="36">
        <v>23</v>
      </c>
      <c r="G357" s="36"/>
      <c r="H357" s="36"/>
      <c r="I357" s="36"/>
      <c r="J357" s="36">
        <v>72</v>
      </c>
      <c r="K357" s="36"/>
      <c r="L357" s="36"/>
      <c r="M357" s="36"/>
      <c r="N357" s="36">
        <v>5</v>
      </c>
      <c r="O357" s="36">
        <v>2</v>
      </c>
      <c r="P357" s="36">
        <v>6</v>
      </c>
      <c r="Q357" s="36" t="s">
        <v>181</v>
      </c>
      <c r="R357" s="36" t="s">
        <v>418</v>
      </c>
      <c r="S357" s="36" t="s">
        <v>7</v>
      </c>
      <c r="T357" s="36" t="s">
        <v>417</v>
      </c>
      <c r="U357" s="3" t="s">
        <v>169</v>
      </c>
      <c r="V357" s="3" t="s">
        <v>170</v>
      </c>
      <c r="W357" s="3"/>
      <c r="X357" s="3"/>
      <c r="Y357" s="36" t="str">
        <f>HYPERLINK("http://www.stromypodkontrolou.cz/map/?draw_selection_circle=1#%7B%22lat%22%3A%2049.671222210565%2C%20%22lng%22%3A%2018.6697341653391%2C%20%22zoom%22%3A%2020%7D")</f>
        <v>http://www.stromypodkontrolou.cz/map/?draw_selection_circle=1#%7B%22lat%22%3A%2049.671222210565%2C%20%22lng%22%3A%2018.6697341653391%2C%20%22zoom%22%3A%2020%7D</v>
      </c>
    </row>
    <row r="358" spans="1:25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" t="s">
        <v>191</v>
      </c>
      <c r="V358" s="3" t="s">
        <v>192</v>
      </c>
      <c r="W358" s="3"/>
      <c r="X358" s="3"/>
      <c r="Y358" s="36"/>
    </row>
    <row r="359" spans="1:25" ht="12.75">
      <c r="A359" s="36" t="s">
        <v>16</v>
      </c>
      <c r="B359" s="36">
        <v>52</v>
      </c>
      <c r="C359" s="36"/>
      <c r="D359" s="36" t="s">
        <v>21</v>
      </c>
      <c r="E359" s="36" t="s">
        <v>197</v>
      </c>
      <c r="F359" s="36">
        <v>19</v>
      </c>
      <c r="G359" s="36">
        <v>17</v>
      </c>
      <c r="H359" s="36"/>
      <c r="I359" s="36"/>
      <c r="J359" s="36">
        <v>60</v>
      </c>
      <c r="K359" s="36">
        <v>53</v>
      </c>
      <c r="L359" s="36"/>
      <c r="M359" s="36"/>
      <c r="N359" s="36">
        <v>16</v>
      </c>
      <c r="O359" s="36">
        <v>9</v>
      </c>
      <c r="P359" s="36">
        <v>5</v>
      </c>
      <c r="Q359" s="36" t="s">
        <v>181</v>
      </c>
      <c r="R359" s="36" t="s">
        <v>230</v>
      </c>
      <c r="S359" s="36" t="s">
        <v>189</v>
      </c>
      <c r="T359" s="36" t="s">
        <v>314</v>
      </c>
      <c r="U359" s="3" t="s">
        <v>191</v>
      </c>
      <c r="V359" s="3" t="s">
        <v>192</v>
      </c>
      <c r="W359" s="3"/>
      <c r="X359" s="3"/>
      <c r="Y359" s="36" t="str">
        <f>HYPERLINK("http://www.stromypodkontrolou.cz/map/?draw_selection_circle=1#%7B%22lat%22%3A%2049.6716952679558%2C%20%22lng%22%3A%2018.6705653997467%2C%20%22zoom%22%3A%2020%7D")</f>
        <v>http://www.stromypodkontrolou.cz/map/?draw_selection_circle=1#%7B%22lat%22%3A%2049.6716952679558%2C%20%22lng%22%3A%2018.6705653997467%2C%20%22zoom%22%3A%2020%7D</v>
      </c>
    </row>
    <row r="360" spans="1:25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" t="s">
        <v>171</v>
      </c>
      <c r="V360" s="3" t="s">
        <v>172</v>
      </c>
      <c r="W360" s="3"/>
      <c r="X360" s="3"/>
      <c r="Y360" s="36"/>
    </row>
    <row r="361" spans="1:25" ht="12.75">
      <c r="A361" s="36" t="s">
        <v>123</v>
      </c>
      <c r="B361" s="36">
        <v>26</v>
      </c>
      <c r="C361" s="36"/>
      <c r="D361" s="36" t="s">
        <v>24</v>
      </c>
      <c r="E361" s="36" t="s">
        <v>200</v>
      </c>
      <c r="F361" s="36">
        <v>18</v>
      </c>
      <c r="G361" s="36">
        <v>18</v>
      </c>
      <c r="H361" s="36">
        <v>17</v>
      </c>
      <c r="I361" s="36"/>
      <c r="J361" s="36">
        <v>57</v>
      </c>
      <c r="K361" s="36">
        <v>57</v>
      </c>
      <c r="L361" s="36">
        <v>53</v>
      </c>
      <c r="M361" s="36"/>
      <c r="N361" s="36">
        <v>13</v>
      </c>
      <c r="O361" s="36">
        <v>1</v>
      </c>
      <c r="P361" s="36">
        <v>9</v>
      </c>
      <c r="Q361" s="36" t="s">
        <v>166</v>
      </c>
      <c r="R361" s="36" t="s">
        <v>239</v>
      </c>
      <c r="S361" s="36" t="s">
        <v>7</v>
      </c>
      <c r="T361" s="36" t="s">
        <v>419</v>
      </c>
      <c r="U361" s="3" t="s">
        <v>169</v>
      </c>
      <c r="V361" s="3" t="s">
        <v>170</v>
      </c>
      <c r="W361" s="3"/>
      <c r="X361" s="3"/>
      <c r="Y361" s="36" t="str">
        <f>HYPERLINK("http://www.stromypodkontrolou.cz/map/?draw_selection_circle=1#%7B%22lat%22%3A%2049.6779723371%2C%20%22lng%22%3A%2018.6712173545%2C%20%22zoom%22%3A%2020%7D")</f>
        <v>http://www.stromypodkontrolou.cz/map/?draw_selection_circle=1#%7B%22lat%22%3A%2049.6779723371%2C%20%22lng%22%3A%2018.6712173545%2C%20%22zoom%22%3A%2020%7D</v>
      </c>
    </row>
    <row r="362" spans="1:25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" t="s">
        <v>171</v>
      </c>
      <c r="V362" s="3" t="s">
        <v>172</v>
      </c>
      <c r="W362" s="3"/>
      <c r="X362" s="3"/>
      <c r="Y362" s="36"/>
    </row>
    <row r="363" spans="1:25" ht="12.75">
      <c r="A363" s="36" t="s">
        <v>64</v>
      </c>
      <c r="B363" s="36">
        <v>85</v>
      </c>
      <c r="C363" s="36"/>
      <c r="D363" s="36" t="s">
        <v>108</v>
      </c>
      <c r="E363" s="36" t="s">
        <v>351</v>
      </c>
      <c r="F363" s="36">
        <v>19</v>
      </c>
      <c r="G363" s="36"/>
      <c r="H363" s="36"/>
      <c r="I363" s="36"/>
      <c r="J363" s="36">
        <v>60</v>
      </c>
      <c r="K363" s="36"/>
      <c r="L363" s="36"/>
      <c r="M363" s="36"/>
      <c r="N363" s="36">
        <v>16</v>
      </c>
      <c r="O363" s="36">
        <v>5</v>
      </c>
      <c r="P363" s="36">
        <v>4</v>
      </c>
      <c r="Q363" s="36" t="s">
        <v>181</v>
      </c>
      <c r="R363" s="36" t="s">
        <v>420</v>
      </c>
      <c r="S363" s="36" t="s">
        <v>189</v>
      </c>
      <c r="T363" s="36" t="s">
        <v>421</v>
      </c>
      <c r="U363" s="3" t="s">
        <v>191</v>
      </c>
      <c r="V363" s="3" t="s">
        <v>192</v>
      </c>
      <c r="W363" s="3"/>
      <c r="X363" s="3"/>
      <c r="Y363" s="36" t="str">
        <f>HYPERLINK("http://www.stromypodkontrolou.cz/map/?draw_selection_circle=1#%7B%22lat%22%3A%2049.6646403530428%2C%20%22lng%22%3A%2018.6869742028197%2C%20%22zoom%22%3A%2020%7D")</f>
        <v>http://www.stromypodkontrolou.cz/map/?draw_selection_circle=1#%7B%22lat%22%3A%2049.6646403530428%2C%20%22lng%22%3A%2018.6869742028197%2C%20%22zoom%22%3A%2020%7D</v>
      </c>
    </row>
    <row r="364" spans="1:25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" t="s">
        <v>171</v>
      </c>
      <c r="V364" s="3" t="s">
        <v>172</v>
      </c>
      <c r="W364" s="3"/>
      <c r="X364" s="3"/>
      <c r="Y364" s="36"/>
    </row>
    <row r="365" spans="1:25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" t="s">
        <v>171</v>
      </c>
      <c r="V365" s="3" t="s">
        <v>172</v>
      </c>
      <c r="W365" s="3"/>
      <c r="X365" s="3"/>
      <c r="Y365" s="36"/>
    </row>
    <row r="366" spans="1:25" ht="12.75">
      <c r="A366" s="36" t="s">
        <v>124</v>
      </c>
      <c r="B366" s="36">
        <v>19</v>
      </c>
      <c r="C366" s="36"/>
      <c r="D366" s="36" t="s">
        <v>28</v>
      </c>
      <c r="E366" s="36" t="s">
        <v>207</v>
      </c>
      <c r="F366" s="36">
        <v>19</v>
      </c>
      <c r="G366" s="36">
        <v>18</v>
      </c>
      <c r="H366" s="36">
        <v>5</v>
      </c>
      <c r="I366" s="36"/>
      <c r="J366" s="36">
        <v>60</v>
      </c>
      <c r="K366" s="36">
        <v>57</v>
      </c>
      <c r="L366" s="36">
        <v>16</v>
      </c>
      <c r="M366" s="36"/>
      <c r="N366" s="36">
        <v>7</v>
      </c>
      <c r="O366" s="36">
        <v>0</v>
      </c>
      <c r="P366" s="36">
        <v>4</v>
      </c>
      <c r="Q366" s="36" t="s">
        <v>181</v>
      </c>
      <c r="R366" s="36" t="s">
        <v>184</v>
      </c>
      <c r="S366" s="36" t="s">
        <v>189</v>
      </c>
      <c r="T366" s="36" t="s">
        <v>422</v>
      </c>
      <c r="U366" s="3" t="s">
        <v>169</v>
      </c>
      <c r="V366" s="3" t="s">
        <v>170</v>
      </c>
      <c r="W366" s="3"/>
      <c r="X366" s="3"/>
      <c r="Y366" s="36" t="str">
        <f>HYPERLINK("http://www.stromypodkontrolou.cz/map/?draw_selection_circle=1#%7B%22lat%22%3A%2049.663819187607%2C%20%22lng%22%3A%2018.6863341410798%2C%20%22zoom%22%3A%2020%7D")</f>
        <v>http://www.stromypodkontrolou.cz/map/?draw_selection_circle=1#%7B%22lat%22%3A%2049.663819187607%2C%20%22lng%22%3A%2018.6863341410798%2C%20%22zoom%22%3A%2020%7D</v>
      </c>
    </row>
    <row r="367" spans="1:25" ht="12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" t="s">
        <v>171</v>
      </c>
      <c r="V367" s="3" t="s">
        <v>172</v>
      </c>
      <c r="W367" s="3"/>
      <c r="X367" s="3"/>
      <c r="Y367" s="36"/>
    </row>
    <row r="368" spans="1:25" ht="12.75">
      <c r="A368" s="36" t="s">
        <v>124</v>
      </c>
      <c r="B368" s="36">
        <v>16</v>
      </c>
      <c r="C368" s="36"/>
      <c r="D368" s="36" t="s">
        <v>67</v>
      </c>
      <c r="E368" s="36" t="s">
        <v>284</v>
      </c>
      <c r="F368" s="36">
        <v>18</v>
      </c>
      <c r="G368" s="36">
        <v>16</v>
      </c>
      <c r="H368" s="36"/>
      <c r="I368" s="36"/>
      <c r="J368" s="36">
        <v>57</v>
      </c>
      <c r="K368" s="36">
        <v>50</v>
      </c>
      <c r="L368" s="36"/>
      <c r="M368" s="36"/>
      <c r="N368" s="36">
        <v>13</v>
      </c>
      <c r="O368" s="36">
        <v>1</v>
      </c>
      <c r="P368" s="36">
        <v>4</v>
      </c>
      <c r="Q368" s="36" t="s">
        <v>166</v>
      </c>
      <c r="R368" s="36" t="s">
        <v>423</v>
      </c>
      <c r="S368" s="36" t="s">
        <v>189</v>
      </c>
      <c r="T368" s="36" t="s">
        <v>422</v>
      </c>
      <c r="U368" s="3" t="s">
        <v>171</v>
      </c>
      <c r="V368" s="3" t="s">
        <v>172</v>
      </c>
      <c r="W368" s="3"/>
      <c r="X368" s="3"/>
      <c r="Y368" s="36" t="str">
        <f>HYPERLINK("http://www.stromypodkontrolou.cz/map/?draw_selection_circle=1#%7B%22lat%22%3A%2049.6636972066741%2C%20%22lng%22%3A%2018.686244167917%2C%20%22zoom%22%3A%2020%7D")</f>
        <v>http://www.stromypodkontrolou.cz/map/?draw_selection_circle=1#%7B%22lat%22%3A%2049.6636972066741%2C%20%22lng%22%3A%2018.686244167917%2C%20%22zoom%22%3A%2020%7D</v>
      </c>
    </row>
    <row r="369" spans="1:25" ht="12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" t="s">
        <v>169</v>
      </c>
      <c r="V369" s="3" t="s">
        <v>170</v>
      </c>
      <c r="W369" s="3"/>
      <c r="X369" s="3"/>
      <c r="Y369" s="36"/>
    </row>
    <row r="370" spans="1:25" ht="12.75">
      <c r="A370" s="36" t="s">
        <v>37</v>
      </c>
      <c r="B370" s="36">
        <v>52</v>
      </c>
      <c r="C370" s="36"/>
      <c r="D370" s="36" t="s">
        <v>125</v>
      </c>
      <c r="E370" s="36" t="s">
        <v>424</v>
      </c>
      <c r="F370" s="36">
        <v>21</v>
      </c>
      <c r="G370" s="36"/>
      <c r="H370" s="36"/>
      <c r="I370" s="36"/>
      <c r="J370" s="36">
        <v>66</v>
      </c>
      <c r="K370" s="36"/>
      <c r="L370" s="36"/>
      <c r="M370" s="36"/>
      <c r="N370" s="36">
        <v>12</v>
      </c>
      <c r="O370" s="36">
        <v>2</v>
      </c>
      <c r="P370" s="36">
        <v>5</v>
      </c>
      <c r="Q370" s="36" t="s">
        <v>166</v>
      </c>
      <c r="R370" s="36" t="s">
        <v>186</v>
      </c>
      <c r="S370" s="36" t="s">
        <v>189</v>
      </c>
      <c r="T370" s="36" t="s">
        <v>350</v>
      </c>
      <c r="U370" s="3" t="s">
        <v>191</v>
      </c>
      <c r="V370" s="3" t="s">
        <v>192</v>
      </c>
      <c r="W370" s="3"/>
      <c r="X370" s="3"/>
      <c r="Y370" s="36" t="str">
        <f>HYPERLINK("http://www.stromypodkontrolou.cz/map/?draw_selection_circle=1#%7B%22lat%22%3A%2049.6712686020962%2C%20%22lng%22%3A%2018.6787205890943%2C%20%22zoom%22%3A%2020%7D")</f>
        <v>http://www.stromypodkontrolou.cz/map/?draw_selection_circle=1#%7B%22lat%22%3A%2049.6712686020962%2C%20%22lng%22%3A%2018.6787205890943%2C%20%22zoom%22%3A%2020%7D</v>
      </c>
    </row>
    <row r="371" spans="1:25" ht="12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" t="s">
        <v>171</v>
      </c>
      <c r="V371" s="3" t="s">
        <v>172</v>
      </c>
      <c r="W371" s="3"/>
      <c r="X371" s="3"/>
      <c r="Y371" s="36"/>
    </row>
    <row r="372" spans="1:25" ht="12.75">
      <c r="A372" s="36" t="s">
        <v>122</v>
      </c>
      <c r="B372" s="36">
        <v>36</v>
      </c>
      <c r="C372" s="36"/>
      <c r="D372" s="36" t="s">
        <v>108</v>
      </c>
      <c r="E372" s="36" t="s">
        <v>351</v>
      </c>
      <c r="F372" s="36">
        <v>9</v>
      </c>
      <c r="G372" s="36"/>
      <c r="H372" s="36"/>
      <c r="I372" s="36"/>
      <c r="J372" s="36">
        <v>28</v>
      </c>
      <c r="K372" s="36"/>
      <c r="L372" s="36"/>
      <c r="M372" s="36"/>
      <c r="N372" s="36">
        <v>10</v>
      </c>
      <c r="O372" s="36">
        <v>4</v>
      </c>
      <c r="P372" s="36">
        <v>3</v>
      </c>
      <c r="Q372" s="36" t="s">
        <v>166</v>
      </c>
      <c r="R372" s="36" t="s">
        <v>296</v>
      </c>
      <c r="S372" s="36" t="s">
        <v>7</v>
      </c>
      <c r="T372" s="36" t="s">
        <v>415</v>
      </c>
      <c r="U372" s="3" t="s">
        <v>169</v>
      </c>
      <c r="V372" s="3" t="s">
        <v>170</v>
      </c>
      <c r="W372" s="3"/>
      <c r="X372" s="3"/>
      <c r="Y372" s="36" t="str">
        <f>HYPERLINK("http://www.stromypodkontrolou.cz/map/?draw_selection_circle=1#%7B%22lat%22%3A%2049.6820457887549%2C%20%22lng%22%3A%2018.6739874076702%2C%20%22zoom%22%3A%2020%7D")</f>
        <v>http://www.stromypodkontrolou.cz/map/?draw_selection_circle=1#%7B%22lat%22%3A%2049.6820457887549%2C%20%22lng%22%3A%2018.6739874076702%2C%20%22zoom%22%3A%2020%7D</v>
      </c>
    </row>
    <row r="373" spans="1:25" ht="12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" t="s">
        <v>171</v>
      </c>
      <c r="V373" s="3" t="s">
        <v>172</v>
      </c>
      <c r="W373" s="3"/>
      <c r="X373" s="3"/>
      <c r="Y373" s="36"/>
    </row>
    <row r="374" spans="1:25" ht="12.75">
      <c r="A374" s="36" t="s">
        <v>122</v>
      </c>
      <c r="B374" s="36">
        <v>40</v>
      </c>
      <c r="C374" s="36"/>
      <c r="D374" s="36" t="s">
        <v>108</v>
      </c>
      <c r="E374" s="36" t="s">
        <v>351</v>
      </c>
      <c r="F374" s="36">
        <v>17</v>
      </c>
      <c r="G374" s="36">
        <v>11</v>
      </c>
      <c r="H374" s="36"/>
      <c r="I374" s="36"/>
      <c r="J374" s="36">
        <v>53</v>
      </c>
      <c r="K374" s="36">
        <v>35</v>
      </c>
      <c r="L374" s="36"/>
      <c r="M374" s="36"/>
      <c r="N374" s="36">
        <v>16</v>
      </c>
      <c r="O374" s="36">
        <v>3</v>
      </c>
      <c r="P374" s="36">
        <v>7</v>
      </c>
      <c r="Q374" s="36" t="s">
        <v>179</v>
      </c>
      <c r="R374" s="36"/>
      <c r="S374" s="36" t="s">
        <v>177</v>
      </c>
      <c r="T374" s="36" t="s">
        <v>425</v>
      </c>
      <c r="U374" s="3" t="s">
        <v>218</v>
      </c>
      <c r="V374" s="3" t="s">
        <v>219</v>
      </c>
      <c r="W374" s="3"/>
      <c r="X374" s="3"/>
      <c r="Y374" s="36" t="str">
        <f>HYPERLINK("http://www.stromypodkontrolou.cz/map/?draw_selection_circle=1#%7B%22lat%22%3A%2049.6820291346%2C%20%22lng%22%3A%2018.6740575643%2C%20%22zoom%22%3A%2020%7D")</f>
        <v>http://www.stromypodkontrolou.cz/map/?draw_selection_circle=1#%7B%22lat%22%3A%2049.6820291346%2C%20%22lng%22%3A%2018.6740575643%2C%20%22zoom%22%3A%2020%7D</v>
      </c>
    </row>
    <row r="375" spans="1:25" ht="12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" t="s">
        <v>171</v>
      </c>
      <c r="V375" s="3" t="s">
        <v>172</v>
      </c>
      <c r="W375" s="3"/>
      <c r="X375" s="3"/>
      <c r="Y375" s="36"/>
    </row>
    <row r="376" spans="1:25" ht="12.75">
      <c r="A376" s="36" t="s">
        <v>73</v>
      </c>
      <c r="B376" s="36">
        <v>157</v>
      </c>
      <c r="C376" s="36"/>
      <c r="D376" s="36" t="s">
        <v>14</v>
      </c>
      <c r="E376" s="36" t="s">
        <v>180</v>
      </c>
      <c r="F376" s="36">
        <v>8</v>
      </c>
      <c r="G376" s="36"/>
      <c r="H376" s="36"/>
      <c r="I376" s="36"/>
      <c r="J376" s="36">
        <v>25</v>
      </c>
      <c r="K376" s="36"/>
      <c r="L376" s="36"/>
      <c r="M376" s="36"/>
      <c r="N376" s="36">
        <v>8</v>
      </c>
      <c r="O376" s="36">
        <v>2</v>
      </c>
      <c r="P376" s="36">
        <v>2</v>
      </c>
      <c r="Q376" s="36" t="s">
        <v>181</v>
      </c>
      <c r="R376" s="36" t="s">
        <v>426</v>
      </c>
      <c r="S376" s="36" t="s">
        <v>189</v>
      </c>
      <c r="T376" s="36" t="s">
        <v>298</v>
      </c>
      <c r="U376" s="3" t="s">
        <v>171</v>
      </c>
      <c r="V376" s="3" t="s">
        <v>172</v>
      </c>
      <c r="W376" s="3"/>
      <c r="X376" s="3"/>
      <c r="Y376" s="36" t="str">
        <f>HYPERLINK("http://www.stromypodkontrolou.cz/map/?draw_selection_circle=1#%7B%22lat%22%3A%2049.663575622387%2C%20%22lng%22%3A%2018.6784134925797%2C%20%22zoom%22%3A%2020%7D")</f>
        <v>http://www.stromypodkontrolou.cz/map/?draw_selection_circle=1#%7B%22lat%22%3A%2049.663575622387%2C%20%22lng%22%3A%2018.6784134925797%2C%20%22zoom%22%3A%2020%7D</v>
      </c>
    </row>
    <row r="377" spans="1:25" ht="12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" t="s">
        <v>169</v>
      </c>
      <c r="V377" s="3" t="s">
        <v>170</v>
      </c>
      <c r="W377" s="3"/>
      <c r="X377" s="3"/>
      <c r="Y377" s="36"/>
    </row>
    <row r="378" spans="1:25" ht="12.75">
      <c r="A378" s="36" t="s">
        <v>73</v>
      </c>
      <c r="B378" s="36">
        <v>214</v>
      </c>
      <c r="C378" s="36"/>
      <c r="D378" s="36" t="s">
        <v>21</v>
      </c>
      <c r="E378" s="36" t="s">
        <v>197</v>
      </c>
      <c r="F378" s="36">
        <v>31</v>
      </c>
      <c r="G378" s="36"/>
      <c r="H378" s="36"/>
      <c r="I378" s="36"/>
      <c r="J378" s="36">
        <v>97</v>
      </c>
      <c r="K378" s="36"/>
      <c r="L378" s="36"/>
      <c r="M378" s="36"/>
      <c r="N378" s="36">
        <v>16</v>
      </c>
      <c r="O378" s="36">
        <v>2</v>
      </c>
      <c r="P378" s="36">
        <v>5</v>
      </c>
      <c r="Q378" s="36" t="s">
        <v>181</v>
      </c>
      <c r="R378" s="36" t="s">
        <v>427</v>
      </c>
      <c r="S378" s="36" t="s">
        <v>189</v>
      </c>
      <c r="T378" s="36" t="s">
        <v>298</v>
      </c>
      <c r="U378" s="3" t="s">
        <v>171</v>
      </c>
      <c r="V378" s="3" t="s">
        <v>172</v>
      </c>
      <c r="W378" s="3"/>
      <c r="X378" s="3"/>
      <c r="Y378" s="36" t="str">
        <f>HYPERLINK("http://www.stromypodkontrolou.cz/map/?draw_selection_circle=1#%7B%22lat%22%3A%2049.6637318956999%2C%20%22lng%22%3A%2018.6796860793982%2C%20%22zoom%22%3A%2020%7D")</f>
        <v>http://www.stromypodkontrolou.cz/map/?draw_selection_circle=1#%7B%22lat%22%3A%2049.6637318956999%2C%20%22lng%22%3A%2018.6796860793982%2C%20%22zoom%22%3A%2020%7D</v>
      </c>
    </row>
    <row r="379" spans="1:25" ht="12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" t="s">
        <v>218</v>
      </c>
      <c r="V379" s="3" t="s">
        <v>219</v>
      </c>
      <c r="W379" s="3"/>
      <c r="X379" s="3"/>
      <c r="Y379" s="36"/>
    </row>
    <row r="380" spans="1:25" ht="12.75">
      <c r="A380" s="36" t="s">
        <v>19</v>
      </c>
      <c r="B380" s="36">
        <v>14</v>
      </c>
      <c r="C380" s="36"/>
      <c r="D380" s="36" t="s">
        <v>21</v>
      </c>
      <c r="E380" s="36" t="s">
        <v>197</v>
      </c>
      <c r="F380" s="36">
        <v>21</v>
      </c>
      <c r="G380" s="36"/>
      <c r="H380" s="36"/>
      <c r="I380" s="36"/>
      <c r="J380" s="36">
        <v>66</v>
      </c>
      <c r="K380" s="36"/>
      <c r="L380" s="36"/>
      <c r="M380" s="36"/>
      <c r="N380" s="36">
        <v>21</v>
      </c>
      <c r="O380" s="36">
        <v>13</v>
      </c>
      <c r="P380" s="36">
        <v>4</v>
      </c>
      <c r="Q380" s="36" t="s">
        <v>181</v>
      </c>
      <c r="R380" s="36" t="s">
        <v>428</v>
      </c>
      <c r="S380" s="36" t="s">
        <v>7</v>
      </c>
      <c r="T380" s="36" t="s">
        <v>194</v>
      </c>
      <c r="U380" s="3" t="s">
        <v>191</v>
      </c>
      <c r="V380" s="3" t="s">
        <v>192</v>
      </c>
      <c r="W380" s="3"/>
      <c r="X380" s="3"/>
      <c r="Y380" s="36" t="str">
        <f>HYPERLINK("http://www.stromypodkontrolou.cz/map/?draw_selection_circle=1#%7B%22lat%22%3A%2049.6700050593945%2C%20%22lng%22%3A%2018.6620634361125%2C%20%22zoom%22%3A%2020%7D")</f>
        <v>http://www.stromypodkontrolou.cz/map/?draw_selection_circle=1#%7B%22lat%22%3A%2049.6700050593945%2C%20%22lng%22%3A%2018.6620634361125%2C%20%22zoom%22%3A%2020%7D</v>
      </c>
    </row>
    <row r="381" spans="1:25" ht="12.7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" t="s">
        <v>171</v>
      </c>
      <c r="V381" s="3" t="s">
        <v>172</v>
      </c>
      <c r="W381" s="3"/>
      <c r="X381" s="3"/>
      <c r="Y381" s="36"/>
    </row>
    <row r="382" spans="1:25" ht="12.75">
      <c r="A382" s="36" t="s">
        <v>19</v>
      </c>
      <c r="B382" s="36">
        <v>30</v>
      </c>
      <c r="C382" s="36"/>
      <c r="D382" s="36" t="s">
        <v>14</v>
      </c>
      <c r="E382" s="36" t="s">
        <v>180</v>
      </c>
      <c r="F382" s="36">
        <v>21</v>
      </c>
      <c r="G382" s="36"/>
      <c r="H382" s="36"/>
      <c r="I382" s="36"/>
      <c r="J382" s="36">
        <v>66</v>
      </c>
      <c r="K382" s="36"/>
      <c r="L382" s="36"/>
      <c r="M382" s="36"/>
      <c r="N382" s="36">
        <v>12</v>
      </c>
      <c r="O382" s="36">
        <v>2</v>
      </c>
      <c r="P382" s="36">
        <v>4</v>
      </c>
      <c r="Q382" s="36" t="s">
        <v>181</v>
      </c>
      <c r="R382" s="36" t="s">
        <v>193</v>
      </c>
      <c r="S382" s="36" t="s">
        <v>7</v>
      </c>
      <c r="T382" s="36" t="s">
        <v>194</v>
      </c>
      <c r="U382" s="3" t="s">
        <v>224</v>
      </c>
      <c r="V382" s="3" t="s">
        <v>225</v>
      </c>
      <c r="W382" s="3"/>
      <c r="X382" s="3"/>
      <c r="Y382" s="36" t="str">
        <f>HYPERLINK("http://www.stromypodkontrolou.cz/map/?draw_selection_circle=1#%7B%22lat%22%3A%2049.6702034823%2C%20%22lng%22%3A%2018.6623625274%2C%20%22zoom%22%3A%2020%7D")</f>
        <v>http://www.stromypodkontrolou.cz/map/?draw_selection_circle=1#%7B%22lat%22%3A%2049.6702034823%2C%20%22lng%22%3A%2018.6623625274%2C%20%22zoom%22%3A%2020%7D</v>
      </c>
    </row>
    <row r="383" spans="1:25" ht="12.7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" t="s">
        <v>171</v>
      </c>
      <c r="V383" s="3" t="s">
        <v>172</v>
      </c>
      <c r="W383" s="3"/>
      <c r="X383" s="3"/>
      <c r="Y383" s="36"/>
    </row>
    <row r="384" spans="1:25" ht="12.75">
      <c r="A384" s="36" t="s">
        <v>19</v>
      </c>
      <c r="B384" s="36">
        <v>29</v>
      </c>
      <c r="C384" s="36"/>
      <c r="D384" s="36" t="s">
        <v>14</v>
      </c>
      <c r="E384" s="36" t="s">
        <v>180</v>
      </c>
      <c r="F384" s="36">
        <v>18</v>
      </c>
      <c r="G384" s="36"/>
      <c r="H384" s="36"/>
      <c r="I384" s="36"/>
      <c r="J384" s="36">
        <v>57</v>
      </c>
      <c r="K384" s="36"/>
      <c r="L384" s="36"/>
      <c r="M384" s="36"/>
      <c r="N384" s="36">
        <v>12</v>
      </c>
      <c r="O384" s="36">
        <v>4</v>
      </c>
      <c r="P384" s="36">
        <v>4</v>
      </c>
      <c r="Q384" s="36" t="s">
        <v>181</v>
      </c>
      <c r="R384" s="36" t="s">
        <v>429</v>
      </c>
      <c r="S384" s="36" t="s">
        <v>7</v>
      </c>
      <c r="T384" s="36" t="s">
        <v>194</v>
      </c>
      <c r="U384" s="3" t="s">
        <v>224</v>
      </c>
      <c r="V384" s="3" t="s">
        <v>225</v>
      </c>
      <c r="W384" s="3"/>
      <c r="X384" s="3"/>
      <c r="Y384" s="36" t="str">
        <f>HYPERLINK("http://www.stromypodkontrolou.cz/map/?draw_selection_circle=1#%7B%22lat%22%3A%2049.6702161918%2C%20%22lng%22%3A%2018.6623718779%2C%20%22zoom%22%3A%2020%7D")</f>
        <v>http://www.stromypodkontrolou.cz/map/?draw_selection_circle=1#%7B%22lat%22%3A%2049.6702161918%2C%20%22lng%22%3A%2018.6623718779%2C%20%22zoom%22%3A%2020%7D</v>
      </c>
    </row>
    <row r="385" spans="1:25" ht="12.7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" t="s">
        <v>171</v>
      </c>
      <c r="V385" s="3" t="s">
        <v>172</v>
      </c>
      <c r="W385" s="3"/>
      <c r="X385" s="3"/>
      <c r="Y385" s="36"/>
    </row>
    <row r="386" spans="1:25" ht="12.75">
      <c r="A386" s="36" t="s">
        <v>19</v>
      </c>
      <c r="B386" s="36">
        <v>38</v>
      </c>
      <c r="C386" s="36"/>
      <c r="D386" s="36" t="s">
        <v>14</v>
      </c>
      <c r="E386" s="36" t="s">
        <v>180</v>
      </c>
      <c r="F386" s="36">
        <v>12</v>
      </c>
      <c r="G386" s="36"/>
      <c r="H386" s="36"/>
      <c r="I386" s="36"/>
      <c r="J386" s="36">
        <v>38</v>
      </c>
      <c r="K386" s="36"/>
      <c r="L386" s="36"/>
      <c r="M386" s="36"/>
      <c r="N386" s="36">
        <v>9</v>
      </c>
      <c r="O386" s="36">
        <v>3</v>
      </c>
      <c r="P386" s="36">
        <v>3</v>
      </c>
      <c r="Q386" s="36" t="s">
        <v>181</v>
      </c>
      <c r="R386" s="36" t="s">
        <v>193</v>
      </c>
      <c r="S386" s="36" t="s">
        <v>7</v>
      </c>
      <c r="T386" s="36" t="s">
        <v>194</v>
      </c>
      <c r="U386" s="3" t="s">
        <v>224</v>
      </c>
      <c r="V386" s="3" t="s">
        <v>225</v>
      </c>
      <c r="W386" s="3"/>
      <c r="X386" s="3"/>
      <c r="Y386" s="36" t="str">
        <f>HYPERLINK("http://www.stromypodkontrolou.cz/map/?draw_selection_circle=1#%7B%22lat%22%3A%2049.6702632009%2C%20%22lng%22%3A%2018.6623963948%2C%20%22zoom%22%3A%2020%7D")</f>
        <v>http://www.stromypodkontrolou.cz/map/?draw_selection_circle=1#%7B%22lat%22%3A%2049.6702632009%2C%20%22lng%22%3A%2018.6623963948%2C%20%22zoom%22%3A%2020%7D</v>
      </c>
    </row>
    <row r="387" spans="1:25" ht="12.7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" t="s">
        <v>171</v>
      </c>
      <c r="V387" s="3" t="s">
        <v>172</v>
      </c>
      <c r="W387" s="3"/>
      <c r="X387" s="3"/>
      <c r="Y387" s="36"/>
    </row>
    <row r="388" spans="1:25" ht="12.75">
      <c r="A388" s="3" t="s">
        <v>19</v>
      </c>
      <c r="B388" s="3">
        <v>40</v>
      </c>
      <c r="C388" s="3"/>
      <c r="D388" s="3" t="s">
        <v>14</v>
      </c>
      <c r="E388" s="3" t="s">
        <v>180</v>
      </c>
      <c r="F388" s="3">
        <v>16</v>
      </c>
      <c r="G388" s="3">
        <v>12</v>
      </c>
      <c r="H388" s="3">
        <v>6</v>
      </c>
      <c r="I388" s="3"/>
      <c r="J388" s="3">
        <v>50</v>
      </c>
      <c r="K388" s="3">
        <v>38</v>
      </c>
      <c r="L388" s="3">
        <v>19</v>
      </c>
      <c r="M388" s="3"/>
      <c r="N388" s="3">
        <v>13</v>
      </c>
      <c r="O388" s="3">
        <v>3</v>
      </c>
      <c r="P388" s="3">
        <v>5</v>
      </c>
      <c r="Q388" s="3" t="s">
        <v>181</v>
      </c>
      <c r="R388" s="3" t="s">
        <v>193</v>
      </c>
      <c r="S388" s="3" t="s">
        <v>7</v>
      </c>
      <c r="T388" s="3" t="s">
        <v>194</v>
      </c>
      <c r="U388" s="3" t="s">
        <v>191</v>
      </c>
      <c r="V388" s="3" t="s">
        <v>192</v>
      </c>
      <c r="W388" s="3"/>
      <c r="X388" s="3"/>
      <c r="Y388" s="3" t="str">
        <f>HYPERLINK("http://www.stromypodkontrolou.cz/map/?draw_selection_circle=1#%7B%22lat%22%3A%2049.6702745335239%2C%20%22lng%22%3A%2018.6624016888624%2C%20%22zoom%22%3A%2020%7D")</f>
        <v>http://www.stromypodkontrolou.cz/map/?draw_selection_circle=1#%7B%22lat%22%3A%2049.6702745335239%2C%20%22lng%22%3A%2018.6624016888624%2C%20%22zoom%22%3A%2020%7D</v>
      </c>
    </row>
    <row r="389" spans="1:25" ht="12.75">
      <c r="A389" s="36" t="s">
        <v>51</v>
      </c>
      <c r="B389" s="36">
        <v>6</v>
      </c>
      <c r="C389" s="36"/>
      <c r="D389" s="36" t="s">
        <v>21</v>
      </c>
      <c r="E389" s="36" t="s">
        <v>197</v>
      </c>
      <c r="F389" s="36">
        <v>25</v>
      </c>
      <c r="G389" s="36"/>
      <c r="H389" s="36"/>
      <c r="I389" s="36"/>
      <c r="J389" s="36">
        <v>79</v>
      </c>
      <c r="K389" s="36"/>
      <c r="L389" s="36"/>
      <c r="M389" s="36"/>
      <c r="N389" s="36">
        <v>19</v>
      </c>
      <c r="O389" s="36">
        <v>2</v>
      </c>
      <c r="P389" s="36">
        <v>5</v>
      </c>
      <c r="Q389" s="36" t="s">
        <v>166</v>
      </c>
      <c r="R389" s="36" t="s">
        <v>430</v>
      </c>
      <c r="S389" s="36" t="s">
        <v>189</v>
      </c>
      <c r="T389" s="36" t="s">
        <v>255</v>
      </c>
      <c r="U389" s="3" t="s">
        <v>169</v>
      </c>
      <c r="V389" s="3" t="s">
        <v>170</v>
      </c>
      <c r="W389" s="3"/>
      <c r="X389" s="3"/>
      <c r="Y389" s="36" t="str">
        <f>HYPERLINK("http://www.stromypodkontrolou.cz/map/?draw_selection_circle=1#%7B%22lat%22%3A%2049.6646403627581%2C%20%22lng%22%3A%2018.6833383705161%2C%20%22zoom%22%3A%2020%7D")</f>
        <v>http://www.stromypodkontrolou.cz/map/?draw_selection_circle=1#%7B%22lat%22%3A%2049.6646403627581%2C%20%22lng%22%3A%2018.6833383705161%2C%20%22zoom%22%3A%2020%7D</v>
      </c>
    </row>
    <row r="390" spans="1:25" ht="12.7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" t="s">
        <v>169</v>
      </c>
      <c r="V390" s="3" t="s">
        <v>170</v>
      </c>
      <c r="W390" s="3"/>
      <c r="X390" s="3"/>
      <c r="Y390" s="36"/>
    </row>
    <row r="391" spans="1:25" ht="12.7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" t="s">
        <v>169</v>
      </c>
      <c r="V391" s="3" t="s">
        <v>170</v>
      </c>
      <c r="W391" s="3"/>
      <c r="X391" s="3"/>
      <c r="Y391" s="36"/>
    </row>
    <row r="392" spans="1:25" ht="12.75">
      <c r="A392" s="36" t="s">
        <v>51</v>
      </c>
      <c r="B392" s="36">
        <v>4</v>
      </c>
      <c r="C392" s="36"/>
      <c r="D392" s="36" t="s">
        <v>14</v>
      </c>
      <c r="E392" s="36" t="s">
        <v>180</v>
      </c>
      <c r="F392" s="36">
        <v>23</v>
      </c>
      <c r="G392" s="36"/>
      <c r="H392" s="36"/>
      <c r="I392" s="36"/>
      <c r="J392" s="36">
        <v>72</v>
      </c>
      <c r="K392" s="36"/>
      <c r="L392" s="36"/>
      <c r="M392" s="36"/>
      <c r="N392" s="36">
        <v>13</v>
      </c>
      <c r="O392" s="36">
        <v>2</v>
      </c>
      <c r="P392" s="36">
        <v>5</v>
      </c>
      <c r="Q392" s="36" t="s">
        <v>166</v>
      </c>
      <c r="R392" s="36" t="s">
        <v>196</v>
      </c>
      <c r="S392" s="36" t="s">
        <v>189</v>
      </c>
      <c r="T392" s="36" t="s">
        <v>255</v>
      </c>
      <c r="U392" s="3" t="s">
        <v>169</v>
      </c>
      <c r="V392" s="3" t="s">
        <v>170</v>
      </c>
      <c r="W392" s="3"/>
      <c r="X392" s="3"/>
      <c r="Y392" s="36" t="str">
        <f>HYPERLINK("http://www.stromypodkontrolou.cz/map/?draw_selection_circle=1#%7B%22lat%22%3A%2049.6646731239%2C%20%22lng%22%3A%2018.6834170922%2C%20%22zoom%22%3A%2020%7D")</f>
        <v>http://www.stromypodkontrolou.cz/map/?draw_selection_circle=1#%7B%22lat%22%3A%2049.6646731239%2C%20%22lng%22%3A%2018.6834170922%2C%20%22zoom%22%3A%2020%7D</v>
      </c>
    </row>
    <row r="393" spans="1:25" ht="12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" t="s">
        <v>171</v>
      </c>
      <c r="V393" s="3" t="s">
        <v>172</v>
      </c>
      <c r="W393" s="3"/>
      <c r="X393" s="3"/>
      <c r="Y393" s="36"/>
    </row>
    <row r="394" spans="1:25" ht="12.75">
      <c r="A394" s="36" t="s">
        <v>126</v>
      </c>
      <c r="B394" s="36">
        <v>5</v>
      </c>
      <c r="C394" s="36"/>
      <c r="D394" s="36" t="s">
        <v>31</v>
      </c>
      <c r="E394" s="36" t="s">
        <v>213</v>
      </c>
      <c r="F394" s="36">
        <v>16</v>
      </c>
      <c r="G394" s="36"/>
      <c r="H394" s="36"/>
      <c r="I394" s="36"/>
      <c r="J394" s="36">
        <v>50</v>
      </c>
      <c r="K394" s="36"/>
      <c r="L394" s="36"/>
      <c r="M394" s="36"/>
      <c r="N394" s="36">
        <v>7</v>
      </c>
      <c r="O394" s="36">
        <v>1</v>
      </c>
      <c r="P394" s="36">
        <v>4</v>
      </c>
      <c r="Q394" s="36" t="s">
        <v>179</v>
      </c>
      <c r="R394" s="36" t="s">
        <v>226</v>
      </c>
      <c r="S394" s="36" t="s">
        <v>189</v>
      </c>
      <c r="T394" s="36" t="s">
        <v>431</v>
      </c>
      <c r="U394" s="3" t="s">
        <v>432</v>
      </c>
      <c r="V394" s="3" t="s">
        <v>433</v>
      </c>
      <c r="W394" s="3"/>
      <c r="X394" s="3"/>
      <c r="Y394" s="36" t="str">
        <f>HYPERLINK("http://www.stromypodkontrolou.cz/map/?draw_selection_circle=1#%7B%22lat%22%3A%2049.670042063136%2C%20%22lng%22%3A%2018.681002696151%2C%20%22zoom%22%3A%2020%7D")</f>
        <v>http://www.stromypodkontrolou.cz/map/?draw_selection_circle=1#%7B%22lat%22%3A%2049.670042063136%2C%20%22lng%22%3A%2018.681002696151%2C%20%22zoom%22%3A%2020%7D</v>
      </c>
    </row>
    <row r="395" spans="1:25" ht="12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" t="s">
        <v>169</v>
      </c>
      <c r="V395" s="3" t="s">
        <v>170</v>
      </c>
      <c r="W395" s="3"/>
      <c r="X395" s="3"/>
      <c r="Y395" s="36"/>
    </row>
    <row r="396" spans="1:25" ht="12.75">
      <c r="A396" s="36" t="s">
        <v>126</v>
      </c>
      <c r="B396" s="36">
        <v>4</v>
      </c>
      <c r="C396" s="36"/>
      <c r="D396" s="36" t="s">
        <v>31</v>
      </c>
      <c r="E396" s="36" t="s">
        <v>213</v>
      </c>
      <c r="F396" s="36">
        <v>17</v>
      </c>
      <c r="G396" s="36"/>
      <c r="H396" s="36"/>
      <c r="I396" s="36"/>
      <c r="J396" s="36">
        <v>53</v>
      </c>
      <c r="K396" s="36"/>
      <c r="L396" s="36"/>
      <c r="M396" s="36"/>
      <c r="N396" s="36">
        <v>6</v>
      </c>
      <c r="O396" s="36">
        <v>1</v>
      </c>
      <c r="P396" s="36">
        <v>3</v>
      </c>
      <c r="Q396" s="36" t="s">
        <v>179</v>
      </c>
      <c r="R396" s="36" t="s">
        <v>226</v>
      </c>
      <c r="S396" s="36" t="s">
        <v>189</v>
      </c>
      <c r="T396" s="36" t="s">
        <v>431</v>
      </c>
      <c r="U396" s="3" t="s">
        <v>432</v>
      </c>
      <c r="V396" s="3" t="s">
        <v>433</v>
      </c>
      <c r="W396" s="3"/>
      <c r="X396" s="3"/>
      <c r="Y396" s="36" t="str">
        <f>HYPERLINK("http://www.stromypodkontrolou.cz/map/?draw_selection_circle=1#%7B%22lat%22%3A%2049.6700286888538%2C%20%22lng%22%3A%2018.6810123753831%2C%20%22zoom%22%3A%2020%7D")</f>
        <v>http://www.stromypodkontrolou.cz/map/?draw_selection_circle=1#%7B%22lat%22%3A%2049.6700286888538%2C%20%22lng%22%3A%2018.6810123753831%2C%20%22zoom%22%3A%2020%7D</v>
      </c>
    </row>
    <row r="397" spans="1:25" ht="12.7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" t="s">
        <v>169</v>
      </c>
      <c r="V397" s="3" t="s">
        <v>170</v>
      </c>
      <c r="W397" s="3"/>
      <c r="X397" s="3"/>
      <c r="Y397" s="36"/>
    </row>
    <row r="398" spans="1:25" ht="12.75">
      <c r="A398" s="3" t="s">
        <v>127</v>
      </c>
      <c r="B398" s="3">
        <v>1</v>
      </c>
      <c r="C398" s="3"/>
      <c r="D398" s="3" t="s">
        <v>21</v>
      </c>
      <c r="E398" s="3" t="s">
        <v>197</v>
      </c>
      <c r="F398" s="3">
        <v>20</v>
      </c>
      <c r="G398" s="3">
        <v>14</v>
      </c>
      <c r="H398" s="3">
        <v>4</v>
      </c>
      <c r="I398" s="3"/>
      <c r="J398" s="3">
        <v>63</v>
      </c>
      <c r="K398" s="3">
        <v>44</v>
      </c>
      <c r="L398" s="3">
        <v>13</v>
      </c>
      <c r="M398" s="3"/>
      <c r="N398" s="3">
        <v>11</v>
      </c>
      <c r="O398" s="3">
        <v>2</v>
      </c>
      <c r="P398" s="3">
        <v>7</v>
      </c>
      <c r="Q398" s="3" t="s">
        <v>166</v>
      </c>
      <c r="R398" s="3" t="s">
        <v>193</v>
      </c>
      <c r="S398" s="3" t="s">
        <v>7</v>
      </c>
      <c r="T398" s="3" t="s">
        <v>215</v>
      </c>
      <c r="U398" s="3" t="s">
        <v>169</v>
      </c>
      <c r="V398" s="3" t="s">
        <v>170</v>
      </c>
      <c r="W398" s="3"/>
      <c r="X398" s="3"/>
      <c r="Y398" s="3" t="str">
        <f>HYPERLINK("http://www.stromypodkontrolou.cz/map/?draw_selection_circle=1#%7B%22lat%22%3A%2049.6694701071%2C%20%22lng%22%3A%2018.6630011084%2C%20%22zoom%22%3A%2020%7D")</f>
        <v>http://www.stromypodkontrolou.cz/map/?draw_selection_circle=1#%7B%22lat%22%3A%2049.6694701071%2C%20%22lng%22%3A%2018.6630011084%2C%20%22zoom%22%3A%2020%7D</v>
      </c>
    </row>
    <row r="399" spans="1:25" ht="12.75">
      <c r="A399" s="3" t="s">
        <v>127</v>
      </c>
      <c r="B399" s="3">
        <v>2</v>
      </c>
      <c r="C399" s="3"/>
      <c r="D399" s="3" t="s">
        <v>21</v>
      </c>
      <c r="E399" s="3" t="s">
        <v>197</v>
      </c>
      <c r="F399" s="3">
        <v>19</v>
      </c>
      <c r="G399" s="3"/>
      <c r="H399" s="3"/>
      <c r="I399" s="3"/>
      <c r="J399" s="3">
        <v>60</v>
      </c>
      <c r="K399" s="3"/>
      <c r="L399" s="3"/>
      <c r="M399" s="3"/>
      <c r="N399" s="3">
        <v>12</v>
      </c>
      <c r="O399" s="3">
        <v>2</v>
      </c>
      <c r="P399" s="3">
        <v>7</v>
      </c>
      <c r="Q399" s="3" t="s">
        <v>181</v>
      </c>
      <c r="R399" s="3" t="s">
        <v>434</v>
      </c>
      <c r="S399" s="3" t="s">
        <v>7</v>
      </c>
      <c r="T399" s="3" t="s">
        <v>215</v>
      </c>
      <c r="U399" s="3" t="s">
        <v>169</v>
      </c>
      <c r="V399" s="3" t="s">
        <v>170</v>
      </c>
      <c r="W399" s="3"/>
      <c r="X399" s="3"/>
      <c r="Y399" s="3" t="str">
        <f>HYPERLINK("http://www.stromypodkontrolou.cz/map/?draw_selection_circle=1#%7B%22lat%22%3A%2049.6695054764%2C%20%22lng%22%3A%2018.6630148547%2C%20%22zoom%22%3A%2020%7D")</f>
        <v>http://www.stromypodkontrolou.cz/map/?draw_selection_circle=1#%7B%22lat%22%3A%2049.6695054764%2C%20%22lng%22%3A%2018.6630148547%2C%20%22zoom%22%3A%2020%7D</v>
      </c>
    </row>
    <row r="400" spans="1:25" ht="12.75">
      <c r="A400" s="3" t="s">
        <v>127</v>
      </c>
      <c r="B400" s="3">
        <v>4</v>
      </c>
      <c r="C400" s="3"/>
      <c r="D400" s="3" t="s">
        <v>21</v>
      </c>
      <c r="E400" s="3" t="s">
        <v>197</v>
      </c>
      <c r="F400" s="3">
        <v>21</v>
      </c>
      <c r="G400" s="3">
        <v>19</v>
      </c>
      <c r="H400" s="3"/>
      <c r="I400" s="3"/>
      <c r="J400" s="3">
        <v>66</v>
      </c>
      <c r="K400" s="3">
        <v>60</v>
      </c>
      <c r="L400" s="3"/>
      <c r="M400" s="3"/>
      <c r="N400" s="3">
        <v>14</v>
      </c>
      <c r="O400" s="3">
        <v>2</v>
      </c>
      <c r="P400" s="3">
        <v>8</v>
      </c>
      <c r="Q400" s="3" t="s">
        <v>181</v>
      </c>
      <c r="R400" s="3" t="s">
        <v>435</v>
      </c>
      <c r="S400" s="3" t="s">
        <v>7</v>
      </c>
      <c r="T400" s="3" t="s">
        <v>215</v>
      </c>
      <c r="U400" s="3" t="s">
        <v>191</v>
      </c>
      <c r="V400" s="3" t="s">
        <v>192</v>
      </c>
      <c r="W400" s="3"/>
      <c r="X400" s="3"/>
      <c r="Y400" s="3" t="str">
        <f>HYPERLINK("http://www.stromypodkontrolou.cz/map/?draw_selection_circle=1#%7B%22lat%22%3A%2049.6695747260585%2C%20%22lng%22%3A%2018.6630363939672%2C%20%22zoom%22%3A%2020%7D")</f>
        <v>http://www.stromypodkontrolou.cz/map/?draw_selection_circle=1#%7B%22lat%22%3A%2049.6695747260585%2C%20%22lng%22%3A%2018.6630363939672%2C%20%22zoom%22%3A%2020%7D</v>
      </c>
    </row>
    <row r="401" spans="1:25" ht="12.75">
      <c r="A401" s="3" t="s">
        <v>127</v>
      </c>
      <c r="B401" s="3">
        <v>5</v>
      </c>
      <c r="C401" s="3"/>
      <c r="D401" s="3" t="s">
        <v>21</v>
      </c>
      <c r="E401" s="3" t="s">
        <v>197</v>
      </c>
      <c r="F401" s="3">
        <v>22</v>
      </c>
      <c r="G401" s="3">
        <v>20</v>
      </c>
      <c r="H401" s="3">
        <v>15</v>
      </c>
      <c r="I401" s="3"/>
      <c r="J401" s="3">
        <v>69</v>
      </c>
      <c r="K401" s="3">
        <v>63</v>
      </c>
      <c r="L401" s="3">
        <v>47</v>
      </c>
      <c r="M401" s="3"/>
      <c r="N401" s="3">
        <v>14</v>
      </c>
      <c r="O401" s="3">
        <v>2</v>
      </c>
      <c r="P401" s="3">
        <v>9</v>
      </c>
      <c r="Q401" s="3" t="s">
        <v>181</v>
      </c>
      <c r="R401" s="3" t="s">
        <v>436</v>
      </c>
      <c r="S401" s="3" t="s">
        <v>7</v>
      </c>
      <c r="T401" s="3" t="s">
        <v>215</v>
      </c>
      <c r="U401" s="3" t="s">
        <v>191</v>
      </c>
      <c r="V401" s="3" t="s">
        <v>192</v>
      </c>
      <c r="W401" s="3"/>
      <c r="X401" s="3"/>
      <c r="Y401" s="3" t="str">
        <f>HYPERLINK("http://www.stromypodkontrolou.cz/map/?draw_selection_circle=1#%7B%22lat%22%3A%2049.6696193362045%2C%20%22lng%22%3A%2018.6630538324147%2C%20%22zoom%22%3A%2020%7D")</f>
        <v>http://www.stromypodkontrolou.cz/map/?draw_selection_circle=1#%7B%22lat%22%3A%2049.6696193362045%2C%20%22lng%22%3A%2018.6630538324147%2C%20%22zoom%22%3A%2020%7D</v>
      </c>
    </row>
    <row r="402" spans="1:25" ht="12.75">
      <c r="A402" s="3" t="s">
        <v>127</v>
      </c>
      <c r="B402" s="3">
        <v>6</v>
      </c>
      <c r="C402" s="3"/>
      <c r="D402" s="3" t="s">
        <v>21</v>
      </c>
      <c r="E402" s="3" t="s">
        <v>197</v>
      </c>
      <c r="F402" s="3">
        <v>16</v>
      </c>
      <c r="G402" s="3"/>
      <c r="H402" s="3"/>
      <c r="I402" s="3"/>
      <c r="J402" s="3">
        <v>50</v>
      </c>
      <c r="K402" s="3"/>
      <c r="L402" s="3"/>
      <c r="M402" s="3"/>
      <c r="N402" s="3">
        <v>12</v>
      </c>
      <c r="O402" s="3">
        <v>2</v>
      </c>
      <c r="P402" s="3">
        <v>6</v>
      </c>
      <c r="Q402" s="3" t="s">
        <v>179</v>
      </c>
      <c r="R402" s="3" t="s">
        <v>193</v>
      </c>
      <c r="S402" s="3" t="s">
        <v>7</v>
      </c>
      <c r="T402" s="3" t="s">
        <v>215</v>
      </c>
      <c r="U402" s="3" t="s">
        <v>169</v>
      </c>
      <c r="V402" s="3" t="s">
        <v>170</v>
      </c>
      <c r="W402" s="3"/>
      <c r="X402" s="3"/>
      <c r="Y402" s="3" t="str">
        <f>HYPERLINK("http://www.stromypodkontrolou.cz/map/?draw_selection_circle=1#%7B%22lat%22%3A%2049.6697292456%2C%20%22lng%22%3A%2018.6630859084%2C%20%22zoom%22%3A%2020%7D")</f>
        <v>http://www.stromypodkontrolou.cz/map/?draw_selection_circle=1#%7B%22lat%22%3A%2049.6697292456%2C%20%22lng%22%3A%2018.6630859084%2C%20%22zoom%22%3A%2020%7D</v>
      </c>
    </row>
    <row r="403" spans="1:25" ht="12.75">
      <c r="A403" s="3" t="s">
        <v>127</v>
      </c>
      <c r="B403" s="3">
        <v>7</v>
      </c>
      <c r="C403" s="3"/>
      <c r="D403" s="3" t="s">
        <v>21</v>
      </c>
      <c r="E403" s="3" t="s">
        <v>197</v>
      </c>
      <c r="F403" s="3">
        <v>23</v>
      </c>
      <c r="G403" s="3"/>
      <c r="H403" s="3"/>
      <c r="I403" s="3"/>
      <c r="J403" s="3">
        <v>72</v>
      </c>
      <c r="K403" s="3"/>
      <c r="L403" s="3"/>
      <c r="M403" s="3"/>
      <c r="N403" s="3">
        <v>15</v>
      </c>
      <c r="O403" s="3">
        <v>2</v>
      </c>
      <c r="P403" s="3">
        <v>6</v>
      </c>
      <c r="Q403" s="3" t="s">
        <v>181</v>
      </c>
      <c r="R403" s="3" t="s">
        <v>437</v>
      </c>
      <c r="S403" s="3" t="s">
        <v>7</v>
      </c>
      <c r="T403" s="3" t="s">
        <v>215</v>
      </c>
      <c r="U403" s="3" t="s">
        <v>191</v>
      </c>
      <c r="V403" s="3" t="s">
        <v>192</v>
      </c>
      <c r="W403" s="3"/>
      <c r="X403" s="3"/>
      <c r="Y403" s="3" t="str">
        <f>HYPERLINK("http://www.stromypodkontrolou.cz/map/?draw_selection_circle=1#%7B%22lat%22%3A%2049.6697611425854%2C%20%22lng%22%3A%2018.6630986886173%2C%20%22zoom%22%3A%2020%7D")</f>
        <v>http://www.stromypodkontrolou.cz/map/?draw_selection_circle=1#%7B%22lat%22%3A%2049.6697611425854%2C%20%22lng%22%3A%2018.6630986886173%2C%20%22zoom%22%3A%2020%7D</v>
      </c>
    </row>
    <row r="404" spans="1:25" ht="12.75">
      <c r="A404" s="3" t="s">
        <v>127</v>
      </c>
      <c r="B404" s="3">
        <v>10</v>
      </c>
      <c r="C404" s="3"/>
      <c r="D404" s="3" t="s">
        <v>21</v>
      </c>
      <c r="E404" s="3" t="s">
        <v>197</v>
      </c>
      <c r="F404" s="3">
        <v>13</v>
      </c>
      <c r="G404" s="3">
        <v>12</v>
      </c>
      <c r="H404" s="3"/>
      <c r="I404" s="3"/>
      <c r="J404" s="3">
        <v>41</v>
      </c>
      <c r="K404" s="3">
        <v>38</v>
      </c>
      <c r="L404" s="3"/>
      <c r="M404" s="3"/>
      <c r="N404" s="3">
        <v>14</v>
      </c>
      <c r="O404" s="3">
        <v>2</v>
      </c>
      <c r="P404" s="3">
        <v>7</v>
      </c>
      <c r="Q404" s="3" t="s">
        <v>181</v>
      </c>
      <c r="R404" s="3" t="s">
        <v>193</v>
      </c>
      <c r="S404" s="3" t="s">
        <v>7</v>
      </c>
      <c r="T404" s="3" t="s">
        <v>215</v>
      </c>
      <c r="U404" s="3" t="s">
        <v>191</v>
      </c>
      <c r="V404" s="3" t="s">
        <v>192</v>
      </c>
      <c r="W404" s="3"/>
      <c r="X404" s="3"/>
      <c r="Y404" s="3" t="str">
        <f>HYPERLINK("http://www.stromypodkontrolou.cz/map/?draw_selection_circle=1#%7B%22lat%22%3A%2049.6698840822587%2C%20%22lng%22%3A%2018.6631368776961%2C%20%22zoom%22%3A%2020%7D")</f>
        <v>http://www.stromypodkontrolou.cz/map/?draw_selection_circle=1#%7B%22lat%22%3A%2049.6698840822587%2C%20%22lng%22%3A%2018.6631368776961%2C%20%22zoom%22%3A%2020%7D</v>
      </c>
    </row>
    <row r="405" spans="1:25" ht="12.75">
      <c r="A405" s="3" t="s">
        <v>127</v>
      </c>
      <c r="B405" s="3">
        <v>11</v>
      </c>
      <c r="C405" s="3"/>
      <c r="D405" s="3" t="s">
        <v>21</v>
      </c>
      <c r="E405" s="3" t="s">
        <v>197</v>
      </c>
      <c r="F405" s="3">
        <v>20</v>
      </c>
      <c r="G405" s="3">
        <v>13</v>
      </c>
      <c r="H405" s="3"/>
      <c r="I405" s="3"/>
      <c r="J405" s="3">
        <v>63</v>
      </c>
      <c r="K405" s="3">
        <v>41</v>
      </c>
      <c r="L405" s="3"/>
      <c r="M405" s="3"/>
      <c r="N405" s="3">
        <v>14</v>
      </c>
      <c r="O405" s="3">
        <v>4</v>
      </c>
      <c r="P405" s="3">
        <v>7</v>
      </c>
      <c r="Q405" s="3" t="s">
        <v>181</v>
      </c>
      <c r="R405" s="3" t="s">
        <v>193</v>
      </c>
      <c r="S405" s="3" t="s">
        <v>7</v>
      </c>
      <c r="T405" s="3" t="s">
        <v>215</v>
      </c>
      <c r="U405" s="3" t="s">
        <v>191</v>
      </c>
      <c r="V405" s="3" t="s">
        <v>192</v>
      </c>
      <c r="W405" s="3"/>
      <c r="X405" s="3"/>
      <c r="Y405" s="3" t="str">
        <f>HYPERLINK("http://www.stromypodkontrolou.cz/map/?draw_selection_circle=1#%7B%22lat%22%3A%2049.6698993395821%2C%20%22lng%22%3A%2018.6631418821857%2C%20%22zoom%22%3A%2020%7D")</f>
        <v>http://www.stromypodkontrolou.cz/map/?draw_selection_circle=1#%7B%22lat%22%3A%2049.6698993395821%2C%20%22lng%22%3A%2018.6631418821857%2C%20%22zoom%22%3A%2020%7D</v>
      </c>
    </row>
    <row r="406" spans="1:25" ht="12.75">
      <c r="A406" s="3" t="s">
        <v>127</v>
      </c>
      <c r="B406" s="3">
        <v>12</v>
      </c>
      <c r="C406" s="3"/>
      <c r="D406" s="3" t="s">
        <v>21</v>
      </c>
      <c r="E406" s="3" t="s">
        <v>197</v>
      </c>
      <c r="F406" s="3">
        <v>17</v>
      </c>
      <c r="G406" s="3">
        <v>9</v>
      </c>
      <c r="H406" s="3"/>
      <c r="I406" s="3"/>
      <c r="J406" s="3">
        <v>53</v>
      </c>
      <c r="K406" s="3">
        <v>28</v>
      </c>
      <c r="L406" s="3"/>
      <c r="M406" s="3"/>
      <c r="N406" s="3">
        <v>13</v>
      </c>
      <c r="O406" s="3">
        <v>2</v>
      </c>
      <c r="P406" s="3">
        <v>6</v>
      </c>
      <c r="Q406" s="3" t="s">
        <v>181</v>
      </c>
      <c r="R406" s="3" t="s">
        <v>193</v>
      </c>
      <c r="S406" s="3" t="s">
        <v>7</v>
      </c>
      <c r="T406" s="3" t="s">
        <v>215</v>
      </c>
      <c r="U406" s="3" t="s">
        <v>169</v>
      </c>
      <c r="V406" s="3" t="s">
        <v>170</v>
      </c>
      <c r="W406" s="3"/>
      <c r="X406" s="3"/>
      <c r="Y406" s="3" t="str">
        <f>HYPERLINK("http://www.stromypodkontrolou.cz/map/?draw_selection_circle=1#%7B%22lat%22%3A%2049.6699105106833%2C%20%22lng%22%3A%2018.663145995571%2C%20%22zoom%22%3A%2020%7D")</f>
        <v>http://www.stromypodkontrolou.cz/map/?draw_selection_circle=1#%7B%22lat%22%3A%2049.6699105106833%2C%20%22lng%22%3A%2018.663145995571%2C%20%22zoom%22%3A%2020%7D</v>
      </c>
    </row>
    <row r="407" spans="1:25" ht="12.75">
      <c r="A407" s="3" t="s">
        <v>127</v>
      </c>
      <c r="B407" s="3">
        <v>13</v>
      </c>
      <c r="C407" s="3"/>
      <c r="D407" s="3" t="s">
        <v>21</v>
      </c>
      <c r="E407" s="3" t="s">
        <v>197</v>
      </c>
      <c r="F407" s="3">
        <v>8</v>
      </c>
      <c r="G407" s="3"/>
      <c r="H407" s="3"/>
      <c r="I407" s="3"/>
      <c r="J407" s="3">
        <v>25</v>
      </c>
      <c r="K407" s="3"/>
      <c r="L407" s="3"/>
      <c r="M407" s="3"/>
      <c r="N407" s="3">
        <v>8</v>
      </c>
      <c r="O407" s="3">
        <v>2</v>
      </c>
      <c r="P407" s="3">
        <v>3</v>
      </c>
      <c r="Q407" s="3" t="s">
        <v>181</v>
      </c>
      <c r="R407" s="3" t="s">
        <v>208</v>
      </c>
      <c r="S407" s="3" t="s">
        <v>7</v>
      </c>
      <c r="T407" s="3" t="s">
        <v>215</v>
      </c>
      <c r="U407" s="3" t="s">
        <v>169</v>
      </c>
      <c r="V407" s="3" t="s">
        <v>170</v>
      </c>
      <c r="W407" s="3"/>
      <c r="X407" s="3"/>
      <c r="Y407" s="3" t="str">
        <f>HYPERLINK("http://www.stromypodkontrolou.cz/map/?draw_selection_circle=1#%7B%22lat%22%3A%2049.6699298873492%2C%20%22lng%22%3A%2018.6631463868325%2C%20%22zoom%22%3A%2020%7D")</f>
        <v>http://www.stromypodkontrolou.cz/map/?draw_selection_circle=1#%7B%22lat%22%3A%2049.6699298873492%2C%20%22lng%22%3A%2018.6631463868325%2C%20%22zoom%22%3A%2020%7D</v>
      </c>
    </row>
    <row r="408" spans="1:25" ht="12.75">
      <c r="A408" s="3" t="s">
        <v>127</v>
      </c>
      <c r="B408" s="3">
        <v>14</v>
      </c>
      <c r="C408" s="3"/>
      <c r="D408" s="3" t="s">
        <v>21</v>
      </c>
      <c r="E408" s="3" t="s">
        <v>197</v>
      </c>
      <c r="F408" s="3">
        <v>15</v>
      </c>
      <c r="G408" s="3">
        <v>13</v>
      </c>
      <c r="H408" s="3"/>
      <c r="I408" s="3"/>
      <c r="J408" s="3">
        <v>47</v>
      </c>
      <c r="K408" s="3">
        <v>41</v>
      </c>
      <c r="L408" s="3"/>
      <c r="M408" s="3"/>
      <c r="N408" s="3">
        <v>12</v>
      </c>
      <c r="O408" s="3">
        <v>2</v>
      </c>
      <c r="P408" s="3">
        <v>6</v>
      </c>
      <c r="Q408" s="3" t="s">
        <v>181</v>
      </c>
      <c r="R408" s="3" t="s">
        <v>438</v>
      </c>
      <c r="S408" s="3" t="s">
        <v>7</v>
      </c>
      <c r="T408" s="3" t="s">
        <v>215</v>
      </c>
      <c r="U408" s="3" t="s">
        <v>218</v>
      </c>
      <c r="V408" s="3" t="s">
        <v>219</v>
      </c>
      <c r="W408" s="3"/>
      <c r="X408" s="3"/>
      <c r="Y408" s="3" t="str">
        <f>HYPERLINK("http://www.stromypodkontrolou.cz/map/?draw_selection_circle=1#%7B%22lat%22%3A%2049.6699530651876%2C%20%22lng%22%3A%2018.6631560765739%2C%20%22zoom%22%3A%2020%7D")</f>
        <v>http://www.stromypodkontrolou.cz/map/?draw_selection_circle=1#%7B%22lat%22%3A%2049.6699530651876%2C%20%22lng%22%3A%2018.6631560765739%2C%20%22zoom%22%3A%2020%7D</v>
      </c>
    </row>
    <row r="409" spans="1:25" ht="12.75">
      <c r="A409" s="3" t="s">
        <v>127</v>
      </c>
      <c r="B409" s="3">
        <v>15</v>
      </c>
      <c r="C409" s="3"/>
      <c r="D409" s="3" t="s">
        <v>21</v>
      </c>
      <c r="E409" s="3" t="s">
        <v>197</v>
      </c>
      <c r="F409" s="3">
        <v>36</v>
      </c>
      <c r="G409" s="3"/>
      <c r="H409" s="3"/>
      <c r="I409" s="3"/>
      <c r="J409" s="3">
        <v>113</v>
      </c>
      <c r="K409" s="3"/>
      <c r="L409" s="3"/>
      <c r="M409" s="3"/>
      <c r="N409" s="3">
        <v>15</v>
      </c>
      <c r="O409" s="3">
        <v>3</v>
      </c>
      <c r="P409" s="3">
        <v>8</v>
      </c>
      <c r="Q409" s="3" t="s">
        <v>166</v>
      </c>
      <c r="R409" s="3" t="s">
        <v>193</v>
      </c>
      <c r="S409" s="3" t="s">
        <v>7</v>
      </c>
      <c r="T409" s="3" t="s">
        <v>215</v>
      </c>
      <c r="U409" s="3" t="s">
        <v>191</v>
      </c>
      <c r="V409" s="3" t="s">
        <v>192</v>
      </c>
      <c r="W409" s="3"/>
      <c r="X409" s="3"/>
      <c r="Y409" s="3" t="str">
        <f>HYPERLINK("http://www.stromypodkontrolou.cz/map/?draw_selection_circle=1#%7B%22lat%22%3A%2049.6699832516728%2C%20%22lng%22%3A%2018.6631683003773%2C%20%22zoom%22%3A%2020%7D")</f>
        <v>http://www.stromypodkontrolou.cz/map/?draw_selection_circle=1#%7B%22lat%22%3A%2049.6699832516728%2C%20%22lng%22%3A%2018.6631683003773%2C%20%22zoom%22%3A%2020%7D</v>
      </c>
    </row>
    <row r="410" spans="1:25" ht="12.75">
      <c r="A410" s="3" t="s">
        <v>22</v>
      </c>
      <c r="B410" s="3">
        <v>236</v>
      </c>
      <c r="C410" s="3"/>
      <c r="D410" s="3" t="s">
        <v>24</v>
      </c>
      <c r="E410" s="3" t="s">
        <v>200</v>
      </c>
      <c r="F410" s="3">
        <v>12</v>
      </c>
      <c r="G410" s="3">
        <v>8</v>
      </c>
      <c r="H410" s="3">
        <v>7</v>
      </c>
      <c r="I410" s="3"/>
      <c r="J410" s="3">
        <v>38</v>
      </c>
      <c r="K410" s="3">
        <v>25</v>
      </c>
      <c r="L410" s="3">
        <v>22</v>
      </c>
      <c r="M410" s="3"/>
      <c r="N410" s="3">
        <v>10</v>
      </c>
      <c r="O410" s="3">
        <v>1</v>
      </c>
      <c r="P410" s="3">
        <v>5</v>
      </c>
      <c r="Q410" s="3" t="s">
        <v>166</v>
      </c>
      <c r="R410" s="3" t="s">
        <v>239</v>
      </c>
      <c r="S410" s="3" t="s">
        <v>189</v>
      </c>
      <c r="T410" s="3"/>
      <c r="U410" s="3" t="s">
        <v>169</v>
      </c>
      <c r="V410" s="3" t="s">
        <v>170</v>
      </c>
      <c r="W410" s="3"/>
      <c r="X410" s="3"/>
      <c r="Y410" s="3" t="str">
        <f>HYPERLINK("http://www.stromypodkontrolou.cz/map/?draw_selection_circle=1#%7B%22lat%22%3A%2049.6687698773197%2C%20%22lng%22%3A%2018.6709169777394%2C%20%22zoom%22%3A%2020%7D")</f>
        <v>http://www.stromypodkontrolou.cz/map/?draw_selection_circle=1#%7B%22lat%22%3A%2049.6687698773197%2C%20%22lng%22%3A%2018.6709169777394%2C%20%22zoom%22%3A%2020%7D</v>
      </c>
    </row>
    <row r="411" spans="1:25" ht="12.75">
      <c r="A411" s="36" t="s">
        <v>81</v>
      </c>
      <c r="B411" s="36">
        <v>318</v>
      </c>
      <c r="C411" s="36"/>
      <c r="D411" s="36" t="s">
        <v>21</v>
      </c>
      <c r="E411" s="36" t="s">
        <v>197</v>
      </c>
      <c r="F411" s="36">
        <v>34</v>
      </c>
      <c r="G411" s="36"/>
      <c r="H411" s="36"/>
      <c r="I411" s="36"/>
      <c r="J411" s="36">
        <v>107</v>
      </c>
      <c r="K411" s="36"/>
      <c r="L411" s="36"/>
      <c r="M411" s="36"/>
      <c r="N411" s="36">
        <v>20</v>
      </c>
      <c r="O411" s="36">
        <v>2</v>
      </c>
      <c r="P411" s="36">
        <v>5</v>
      </c>
      <c r="Q411" s="36" t="s">
        <v>166</v>
      </c>
      <c r="R411" s="36" t="s">
        <v>196</v>
      </c>
      <c r="S411" s="36" t="s">
        <v>189</v>
      </c>
      <c r="T411" s="36" t="s">
        <v>439</v>
      </c>
      <c r="U411" s="3" t="s">
        <v>171</v>
      </c>
      <c r="V411" s="3" t="s">
        <v>172</v>
      </c>
      <c r="W411" s="3"/>
      <c r="X411" s="3"/>
      <c r="Y411" s="36" t="str">
        <f>HYPERLINK("http://www.stromypodkontrolou.cz/map/?draw_selection_circle=1#%7B%22lat%22%3A%2049.6660541691618%2C%20%22lng%22%3A%2018.6769623654853%2C%20%22zoom%22%3A%2020%7D")</f>
        <v>http://www.stromypodkontrolou.cz/map/?draw_selection_circle=1#%7B%22lat%22%3A%2049.6660541691618%2C%20%22lng%22%3A%2018.6769623654853%2C%20%22zoom%22%3A%2020%7D</v>
      </c>
    </row>
    <row r="412" spans="1:25" ht="12.7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" t="s">
        <v>191</v>
      </c>
      <c r="V412" s="3" t="s">
        <v>192</v>
      </c>
      <c r="W412" s="3"/>
      <c r="X412" s="3"/>
      <c r="Y412" s="36"/>
    </row>
    <row r="413" spans="1:25" ht="12.75">
      <c r="A413" s="36" t="s">
        <v>81</v>
      </c>
      <c r="B413" s="36">
        <v>381</v>
      </c>
      <c r="C413" s="36"/>
      <c r="D413" s="36" t="s">
        <v>23</v>
      </c>
      <c r="E413" s="36" t="s">
        <v>198</v>
      </c>
      <c r="F413" s="36">
        <v>25</v>
      </c>
      <c r="G413" s="36">
        <v>22</v>
      </c>
      <c r="H413" s="36"/>
      <c r="I413" s="36"/>
      <c r="J413" s="36">
        <v>79</v>
      </c>
      <c r="K413" s="36">
        <v>69</v>
      </c>
      <c r="L413" s="36"/>
      <c r="M413" s="36"/>
      <c r="N413" s="36">
        <v>20</v>
      </c>
      <c r="O413" s="36">
        <v>10</v>
      </c>
      <c r="P413" s="36">
        <v>6</v>
      </c>
      <c r="Q413" s="36" t="s">
        <v>181</v>
      </c>
      <c r="R413" s="36" t="s">
        <v>371</v>
      </c>
      <c r="S413" s="36" t="s">
        <v>189</v>
      </c>
      <c r="T413" s="36" t="s">
        <v>440</v>
      </c>
      <c r="U413" s="3" t="s">
        <v>191</v>
      </c>
      <c r="V413" s="3" t="s">
        <v>192</v>
      </c>
      <c r="W413" s="3"/>
      <c r="X413" s="3"/>
      <c r="Y413" s="36" t="str">
        <f>HYPERLINK("http://www.stromypodkontrolou.cz/map/?draw_selection_circle=1#%7B%22lat%22%3A%2049.6676698334539%2C%20%22lng%22%3A%2018.676418668097%2C%20%22zoom%22%3A%2020%7D")</f>
        <v>http://www.stromypodkontrolou.cz/map/?draw_selection_circle=1#%7B%22lat%22%3A%2049.6676698334539%2C%20%22lng%22%3A%2018.676418668097%2C%20%22zoom%22%3A%2020%7D</v>
      </c>
    </row>
    <row r="414" spans="1:25" ht="12.7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" t="s">
        <v>171</v>
      </c>
      <c r="V414" s="3" t="s">
        <v>172</v>
      </c>
      <c r="W414" s="3"/>
      <c r="X414" s="3"/>
      <c r="Y414" s="36"/>
    </row>
    <row r="415" spans="1:25" ht="12.75">
      <c r="A415" s="3" t="s">
        <v>81</v>
      </c>
      <c r="B415" s="3">
        <v>368</v>
      </c>
      <c r="C415" s="3"/>
      <c r="D415" s="3" t="s">
        <v>30</v>
      </c>
      <c r="E415" s="3" t="s">
        <v>211</v>
      </c>
      <c r="F415" s="3">
        <v>22</v>
      </c>
      <c r="G415" s="3"/>
      <c r="H415" s="3"/>
      <c r="I415" s="3"/>
      <c r="J415" s="3">
        <v>69</v>
      </c>
      <c r="K415" s="3"/>
      <c r="L415" s="3"/>
      <c r="M415" s="3"/>
      <c r="N415" s="3">
        <v>15</v>
      </c>
      <c r="O415" s="3">
        <v>3</v>
      </c>
      <c r="P415" s="3">
        <v>5</v>
      </c>
      <c r="Q415" s="3" t="s">
        <v>181</v>
      </c>
      <c r="R415" s="3" t="s">
        <v>182</v>
      </c>
      <c r="S415" s="3" t="s">
        <v>189</v>
      </c>
      <c r="T415" s="3" t="s">
        <v>440</v>
      </c>
      <c r="U415" s="3" t="s">
        <v>218</v>
      </c>
      <c r="V415" s="3" t="s">
        <v>219</v>
      </c>
      <c r="W415" s="3"/>
      <c r="X415" s="3"/>
      <c r="Y415" s="3" t="str">
        <f>HYPERLINK("http://www.stromypodkontrolou.cz/map/?draw_selection_circle=1#%7B%22lat%22%3A%2049.6679808892763%2C%20%22lng%22%3A%2018.676709561577%2C%20%22zoom%22%3A%2020%7D")</f>
        <v>http://www.stromypodkontrolou.cz/map/?draw_selection_circle=1#%7B%22lat%22%3A%2049.6679808892763%2C%20%22lng%22%3A%2018.676709561577%2C%20%22zoom%22%3A%2020%7D</v>
      </c>
    </row>
    <row r="416" spans="1:25" ht="12.75">
      <c r="A416" s="3" t="s">
        <v>12</v>
      </c>
      <c r="B416" s="3">
        <v>208</v>
      </c>
      <c r="C416" s="3"/>
      <c r="D416" s="3" t="s">
        <v>128</v>
      </c>
      <c r="E416" s="3" t="s">
        <v>441</v>
      </c>
      <c r="F416" s="3">
        <v>7</v>
      </c>
      <c r="G416" s="3"/>
      <c r="H416" s="3"/>
      <c r="I416" s="3"/>
      <c r="J416" s="3">
        <v>22</v>
      </c>
      <c r="K416" s="3"/>
      <c r="L416" s="3"/>
      <c r="M416" s="3"/>
      <c r="N416" s="3">
        <v>5</v>
      </c>
      <c r="O416" s="3">
        <v>1</v>
      </c>
      <c r="P416" s="3">
        <v>2</v>
      </c>
      <c r="Q416" s="3" t="s">
        <v>179</v>
      </c>
      <c r="R416" s="3" t="s">
        <v>226</v>
      </c>
      <c r="S416" s="3" t="s">
        <v>177</v>
      </c>
      <c r="T416" s="3" t="s">
        <v>358</v>
      </c>
      <c r="U416" s="3" t="s">
        <v>169</v>
      </c>
      <c r="V416" s="3" t="s">
        <v>170</v>
      </c>
      <c r="W416" s="3"/>
      <c r="X416" s="3"/>
      <c r="Y416" s="3" t="str">
        <f>HYPERLINK("http://www.stromypodkontrolou.cz/map/?draw_selection_circle=1#%7B%22lat%22%3A%2049.6795051500899%2C%20%22lng%22%3A%2018.6822948497575%2C%20%22zoom%22%3A%2020%7D")</f>
        <v>http://www.stromypodkontrolou.cz/map/?draw_selection_circle=1#%7B%22lat%22%3A%2049.6795051500899%2C%20%22lng%22%3A%2018.6822948497575%2C%20%22zoom%22%3A%2020%7D</v>
      </c>
    </row>
    <row r="417" spans="1:25" ht="12.75">
      <c r="A417" s="3" t="s">
        <v>12</v>
      </c>
      <c r="B417" s="3">
        <v>206</v>
      </c>
      <c r="C417" s="3"/>
      <c r="D417" s="3" t="s">
        <v>128</v>
      </c>
      <c r="E417" s="3" t="s">
        <v>441</v>
      </c>
      <c r="F417" s="3">
        <v>7</v>
      </c>
      <c r="G417" s="3"/>
      <c r="H417" s="3"/>
      <c r="I417" s="3"/>
      <c r="J417" s="3">
        <v>22</v>
      </c>
      <c r="K417" s="3"/>
      <c r="L417" s="3"/>
      <c r="M417" s="3"/>
      <c r="N417" s="3">
        <v>5</v>
      </c>
      <c r="O417" s="3">
        <v>1</v>
      </c>
      <c r="P417" s="3">
        <v>2</v>
      </c>
      <c r="Q417" s="3" t="s">
        <v>179</v>
      </c>
      <c r="R417" s="3" t="s">
        <v>196</v>
      </c>
      <c r="S417" s="3" t="s">
        <v>177</v>
      </c>
      <c r="T417" s="3" t="s">
        <v>358</v>
      </c>
      <c r="U417" s="3" t="s">
        <v>169</v>
      </c>
      <c r="V417" s="3" t="s">
        <v>170</v>
      </c>
      <c r="W417" s="3"/>
      <c r="X417" s="3"/>
      <c r="Y417" s="3" t="str">
        <f>HYPERLINK("http://www.stromypodkontrolou.cz/map/?draw_selection_circle=1#%7B%22lat%22%3A%2049.6794856592298%2C%20%22lng%22%3A%2018.6823561713519%2C%20%22zoom%22%3A%2020%7D")</f>
        <v>http://www.stromypodkontrolou.cz/map/?draw_selection_circle=1#%7B%22lat%22%3A%2049.6794856592298%2C%20%22lng%22%3A%2018.6823561713519%2C%20%22zoom%22%3A%2020%7D</v>
      </c>
    </row>
    <row r="418" spans="1:25" ht="12.75">
      <c r="A418" s="3" t="s">
        <v>12</v>
      </c>
      <c r="B418" s="3">
        <v>327</v>
      </c>
      <c r="C418" s="3"/>
      <c r="D418" s="3" t="s">
        <v>30</v>
      </c>
      <c r="E418" s="3" t="s">
        <v>211</v>
      </c>
      <c r="F418" s="3">
        <v>21</v>
      </c>
      <c r="G418" s="3"/>
      <c r="H418" s="3"/>
      <c r="I418" s="3"/>
      <c r="J418" s="3">
        <v>66</v>
      </c>
      <c r="K418" s="3"/>
      <c r="L418" s="3"/>
      <c r="M418" s="3"/>
      <c r="N418" s="3">
        <v>12</v>
      </c>
      <c r="O418" s="3">
        <v>2</v>
      </c>
      <c r="P418" s="3">
        <v>5</v>
      </c>
      <c r="Q418" s="3" t="s">
        <v>179</v>
      </c>
      <c r="R418" s="3" t="s">
        <v>196</v>
      </c>
      <c r="S418" s="3" t="s">
        <v>177</v>
      </c>
      <c r="T418" s="3" t="s">
        <v>212</v>
      </c>
      <c r="U418" s="3" t="s">
        <v>169</v>
      </c>
      <c r="V418" s="3" t="s">
        <v>170</v>
      </c>
      <c r="W418" s="3"/>
      <c r="X418" s="3"/>
      <c r="Y418" s="3" t="str">
        <f>HYPERLINK("http://www.stromypodkontrolou.cz/map/?draw_selection_circle=1#%7B%22lat%22%3A%2049.6780706193%2C%20%22lng%22%3A%2018.6858248585%2C%20%22zoom%22%3A%2020%7D")</f>
        <v>http://www.stromypodkontrolou.cz/map/?draw_selection_circle=1#%7B%22lat%22%3A%2049.6780706193%2C%20%22lng%22%3A%2018.6858248585%2C%20%22zoom%22%3A%2020%7D</v>
      </c>
    </row>
    <row r="419" spans="1:25" ht="12.75">
      <c r="A419" s="3" t="s">
        <v>12</v>
      </c>
      <c r="B419" s="3">
        <v>364</v>
      </c>
      <c r="C419" s="3"/>
      <c r="D419" s="3" t="s">
        <v>30</v>
      </c>
      <c r="E419" s="3" t="s">
        <v>211</v>
      </c>
      <c r="F419" s="3">
        <v>16</v>
      </c>
      <c r="G419" s="3"/>
      <c r="H419" s="3"/>
      <c r="I419" s="3"/>
      <c r="J419" s="3">
        <v>50</v>
      </c>
      <c r="K419" s="3"/>
      <c r="L419" s="3"/>
      <c r="M419" s="3"/>
      <c r="N419" s="3">
        <v>9</v>
      </c>
      <c r="O419" s="3">
        <v>2</v>
      </c>
      <c r="P419" s="3">
        <v>5</v>
      </c>
      <c r="Q419" s="3" t="s">
        <v>179</v>
      </c>
      <c r="R419" s="3" t="s">
        <v>196</v>
      </c>
      <c r="S419" s="3" t="s">
        <v>177</v>
      </c>
      <c r="T419" s="3" t="s">
        <v>212</v>
      </c>
      <c r="U419" s="3" t="s">
        <v>169</v>
      </c>
      <c r="V419" s="3" t="s">
        <v>170</v>
      </c>
      <c r="W419" s="3"/>
      <c r="X419" s="3"/>
      <c r="Y419" s="3" t="str">
        <f>HYPERLINK("http://www.stromypodkontrolou.cz/map/?draw_selection_circle=1#%7B%22lat%22%3A%2049.678168164987%2C%20%22lng%22%3A%2018.685860062705%2C%20%22zoom%22%3A%2020%7D")</f>
        <v>http://www.stromypodkontrolou.cz/map/?draw_selection_circle=1#%7B%22lat%22%3A%2049.678168164987%2C%20%22lng%22%3A%2018.685860062705%2C%20%22zoom%22%3A%2020%7D</v>
      </c>
    </row>
    <row r="420" spans="1:25" ht="12.75">
      <c r="A420" s="36" t="s">
        <v>12</v>
      </c>
      <c r="B420" s="36">
        <v>289</v>
      </c>
      <c r="C420" s="36"/>
      <c r="D420" s="36" t="s">
        <v>24</v>
      </c>
      <c r="E420" s="36" t="s">
        <v>200</v>
      </c>
      <c r="F420" s="36">
        <v>14</v>
      </c>
      <c r="G420" s="36">
        <v>12</v>
      </c>
      <c r="H420" s="36">
        <v>12</v>
      </c>
      <c r="I420" s="36"/>
      <c r="J420" s="36">
        <v>44</v>
      </c>
      <c r="K420" s="36">
        <v>38</v>
      </c>
      <c r="L420" s="36">
        <v>38</v>
      </c>
      <c r="M420" s="36"/>
      <c r="N420" s="36">
        <v>9</v>
      </c>
      <c r="O420" s="36">
        <v>1</v>
      </c>
      <c r="P420" s="36">
        <v>5</v>
      </c>
      <c r="Q420" s="36" t="s">
        <v>166</v>
      </c>
      <c r="R420" s="36" t="s">
        <v>239</v>
      </c>
      <c r="S420" s="36" t="s">
        <v>177</v>
      </c>
      <c r="T420" s="36" t="s">
        <v>212</v>
      </c>
      <c r="U420" s="3" t="s">
        <v>169</v>
      </c>
      <c r="V420" s="3" t="s">
        <v>170</v>
      </c>
      <c r="W420" s="3"/>
      <c r="X420" s="3"/>
      <c r="Y420" s="36" t="str">
        <f>HYPERLINK("http://www.stromypodkontrolou.cz/map/?draw_selection_circle=1#%7B%22lat%22%3A%2049.6760474371355%2C%20%22lng%22%3A%2018.6866397246812%2C%20%22zoom%22%3A%2020%7D")</f>
        <v>http://www.stromypodkontrolou.cz/map/?draw_selection_circle=1#%7B%22lat%22%3A%2049.6760474371355%2C%20%22lng%22%3A%2018.6866397246812%2C%20%22zoom%22%3A%2020%7D</v>
      </c>
    </row>
    <row r="421" spans="1:25" ht="12.7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" t="s">
        <v>171</v>
      </c>
      <c r="V421" s="3" t="s">
        <v>172</v>
      </c>
      <c r="W421" s="3"/>
      <c r="X421" s="3"/>
      <c r="Y421" s="36"/>
    </row>
    <row r="422" spans="1:25" ht="12.75">
      <c r="A422" s="3" t="s">
        <v>12</v>
      </c>
      <c r="B422" s="3">
        <v>212</v>
      </c>
      <c r="C422" s="3"/>
      <c r="D422" s="3" t="s">
        <v>128</v>
      </c>
      <c r="E422" s="3" t="s">
        <v>441</v>
      </c>
      <c r="F422" s="3">
        <v>7</v>
      </c>
      <c r="G422" s="3"/>
      <c r="H422" s="3"/>
      <c r="I422" s="3"/>
      <c r="J422" s="3">
        <v>22</v>
      </c>
      <c r="K422" s="3"/>
      <c r="L422" s="3"/>
      <c r="M422" s="3"/>
      <c r="N422" s="3">
        <v>4</v>
      </c>
      <c r="O422" s="3">
        <v>1</v>
      </c>
      <c r="P422" s="3">
        <v>3</v>
      </c>
      <c r="Q422" s="3" t="s">
        <v>179</v>
      </c>
      <c r="R422" s="3" t="s">
        <v>196</v>
      </c>
      <c r="S422" s="3" t="s">
        <v>177</v>
      </c>
      <c r="T422" s="3" t="s">
        <v>358</v>
      </c>
      <c r="U422" s="3" t="s">
        <v>169</v>
      </c>
      <c r="V422" s="3" t="s">
        <v>170</v>
      </c>
      <c r="W422" s="3"/>
      <c r="X422" s="3"/>
      <c r="Y422" s="3" t="str">
        <f>HYPERLINK("http://www.stromypodkontrolou.cz/map/?draw_selection_circle=1#%7B%22lat%22%3A%2049.6795493160947%2C%20%22lng%22%3A%2018.6822028557304%2C%20%22zoom%22%3A%2020%7D")</f>
        <v>http://www.stromypodkontrolou.cz/map/?draw_selection_circle=1#%7B%22lat%22%3A%2049.6795493160947%2C%20%22lng%22%3A%2018.6822028557304%2C%20%22zoom%22%3A%2020%7D</v>
      </c>
    </row>
    <row r="423" spans="1:25" ht="12.75">
      <c r="A423" s="3" t="s">
        <v>12</v>
      </c>
      <c r="B423" s="3">
        <v>209</v>
      </c>
      <c r="C423" s="3"/>
      <c r="D423" s="3" t="s">
        <v>129</v>
      </c>
      <c r="E423" s="3" t="s">
        <v>442</v>
      </c>
      <c r="F423" s="3">
        <v>14</v>
      </c>
      <c r="G423" s="3"/>
      <c r="H423" s="3"/>
      <c r="I423" s="3"/>
      <c r="J423" s="3">
        <v>44</v>
      </c>
      <c r="K423" s="3"/>
      <c r="L423" s="3"/>
      <c r="M423" s="3"/>
      <c r="N423" s="3">
        <v>7</v>
      </c>
      <c r="O423" s="3">
        <v>2</v>
      </c>
      <c r="P423" s="3">
        <v>4</v>
      </c>
      <c r="Q423" s="3" t="s">
        <v>181</v>
      </c>
      <c r="R423" s="3" t="s">
        <v>443</v>
      </c>
      <c r="S423" s="3" t="s">
        <v>177</v>
      </c>
      <c r="T423" s="3" t="s">
        <v>358</v>
      </c>
      <c r="U423" s="3" t="s">
        <v>169</v>
      </c>
      <c r="V423" s="3" t="s">
        <v>170</v>
      </c>
      <c r="W423" s="3"/>
      <c r="X423" s="3"/>
      <c r="Y423" s="3" t="str">
        <f>HYPERLINK("http://www.stromypodkontrolou.cz/map/?draw_selection_circle=1#%7B%22lat%22%3A%2049.6795182445098%2C%20%22lng%22%3A%2018.6822711363833%2C%20%22zoom%22%3A%2020%7D")</f>
        <v>http://www.stromypodkontrolou.cz/map/?draw_selection_circle=1#%7B%22lat%22%3A%2049.6795182445098%2C%20%22lng%22%3A%2018.6822711363833%2C%20%22zoom%22%3A%2020%7D</v>
      </c>
    </row>
    <row r="424" spans="1:25" ht="12.75">
      <c r="A424" s="3" t="s">
        <v>12</v>
      </c>
      <c r="B424" s="3">
        <v>360</v>
      </c>
      <c r="C424" s="3"/>
      <c r="D424" s="3" t="s">
        <v>30</v>
      </c>
      <c r="E424" s="3" t="s">
        <v>211</v>
      </c>
      <c r="F424" s="3">
        <v>20</v>
      </c>
      <c r="G424" s="3"/>
      <c r="H424" s="3"/>
      <c r="I424" s="3"/>
      <c r="J424" s="3">
        <v>63</v>
      </c>
      <c r="K424" s="3"/>
      <c r="L424" s="3"/>
      <c r="M424" s="3"/>
      <c r="N424" s="3">
        <v>11</v>
      </c>
      <c r="O424" s="3">
        <v>2</v>
      </c>
      <c r="P424" s="3">
        <v>5</v>
      </c>
      <c r="Q424" s="3" t="s">
        <v>181</v>
      </c>
      <c r="R424" s="3" t="s">
        <v>182</v>
      </c>
      <c r="S424" s="3" t="s">
        <v>177</v>
      </c>
      <c r="T424" s="3" t="s">
        <v>212</v>
      </c>
      <c r="U424" s="3" t="s">
        <v>169</v>
      </c>
      <c r="V424" s="3" t="s">
        <v>170</v>
      </c>
      <c r="W424" s="3"/>
      <c r="X424" s="3"/>
      <c r="Y424" s="3" t="str">
        <f>HYPERLINK("http://www.stromypodkontrolou.cz/map/?draw_selection_circle=1#%7B%22lat%22%3A%2049.6782950455%2C%20%22lng%22%3A%2018.6855682049%2C%20%22zoom%22%3A%2020%7D")</f>
        <v>http://www.stromypodkontrolou.cz/map/?draw_selection_circle=1#%7B%22lat%22%3A%2049.6782950455%2C%20%22lng%22%3A%2018.6855682049%2C%20%22zoom%22%3A%2020%7D</v>
      </c>
    </row>
    <row r="425" spans="1:25" ht="12.75">
      <c r="A425" s="36" t="s">
        <v>26</v>
      </c>
      <c r="B425" s="36">
        <v>81</v>
      </c>
      <c r="C425" s="36"/>
      <c r="D425" s="36" t="s">
        <v>130</v>
      </c>
      <c r="E425" s="36" t="s">
        <v>444</v>
      </c>
      <c r="F425" s="36">
        <v>35</v>
      </c>
      <c r="G425" s="36"/>
      <c r="H425" s="36"/>
      <c r="I425" s="36"/>
      <c r="J425" s="36">
        <v>110</v>
      </c>
      <c r="K425" s="36"/>
      <c r="L425" s="36"/>
      <c r="M425" s="36"/>
      <c r="N425" s="36">
        <v>15</v>
      </c>
      <c r="O425" s="36">
        <v>3</v>
      </c>
      <c r="P425" s="36">
        <v>7</v>
      </c>
      <c r="Q425" s="36" t="s">
        <v>181</v>
      </c>
      <c r="R425" s="36" t="s">
        <v>445</v>
      </c>
      <c r="S425" s="36" t="s">
        <v>189</v>
      </c>
      <c r="T425" s="36" t="s">
        <v>206</v>
      </c>
      <c r="U425" s="3" t="s">
        <v>218</v>
      </c>
      <c r="V425" s="3" t="s">
        <v>219</v>
      </c>
      <c r="W425" s="3"/>
      <c r="X425" s="3"/>
      <c r="Y425" s="36" t="str">
        <f>HYPERLINK("http://www.stromypodkontrolou.cz/map/?draw_selection_circle=1#%7B%22lat%22%3A%2049.6643848403953%2C%20%22lng%22%3A%2018.6755314170667%2C%20%22zoom%22%3A%2020%7D")</f>
        <v>http://www.stromypodkontrolou.cz/map/?draw_selection_circle=1#%7B%22lat%22%3A%2049.6643848403953%2C%20%22lng%22%3A%2018.6755314170667%2C%20%22zoom%22%3A%2020%7D</v>
      </c>
    </row>
    <row r="426" spans="1:25" ht="12.7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" t="s">
        <v>171</v>
      </c>
      <c r="V426" s="3" t="s">
        <v>172</v>
      </c>
      <c r="W426" s="3"/>
      <c r="X426" s="3"/>
      <c r="Y426" s="36"/>
    </row>
    <row r="427" spans="1:25" ht="12.75">
      <c r="A427" s="36" t="s">
        <v>26</v>
      </c>
      <c r="B427" s="36">
        <v>82</v>
      </c>
      <c r="C427" s="36"/>
      <c r="D427" s="36" t="s">
        <v>44</v>
      </c>
      <c r="E427" s="36" t="s">
        <v>242</v>
      </c>
      <c r="F427" s="36">
        <v>30</v>
      </c>
      <c r="G427" s="36"/>
      <c r="H427" s="36"/>
      <c r="I427" s="36"/>
      <c r="J427" s="36">
        <v>94</v>
      </c>
      <c r="K427" s="36"/>
      <c r="L427" s="36"/>
      <c r="M427" s="36"/>
      <c r="N427" s="36">
        <v>12</v>
      </c>
      <c r="O427" s="36">
        <v>2</v>
      </c>
      <c r="P427" s="36">
        <v>8</v>
      </c>
      <c r="Q427" s="36" t="s">
        <v>181</v>
      </c>
      <c r="R427" s="36" t="s">
        <v>446</v>
      </c>
      <c r="S427" s="36" t="s">
        <v>189</v>
      </c>
      <c r="T427" s="36" t="s">
        <v>206</v>
      </c>
      <c r="U427" s="3" t="s">
        <v>169</v>
      </c>
      <c r="V427" s="3" t="s">
        <v>170</v>
      </c>
      <c r="W427" s="3"/>
      <c r="X427" s="3"/>
      <c r="Y427" s="36" t="str">
        <f>HYPERLINK("http://www.stromypodkontrolou.cz/map/?draw_selection_circle=1#%7B%22lat%22%3A%2049.6644032896194%2C%20%22lng%22%3A%2018.6756100944186%2C%20%22zoom%22%3A%2020%7D")</f>
        <v>http://www.stromypodkontrolou.cz/map/?draw_selection_circle=1#%7B%22lat%22%3A%2049.6644032896194%2C%20%22lng%22%3A%2018.6756100944186%2C%20%22zoom%22%3A%2020%7D</v>
      </c>
    </row>
    <row r="428" spans="1:25" ht="12.7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" t="s">
        <v>171</v>
      </c>
      <c r="V428" s="3" t="s">
        <v>172</v>
      </c>
      <c r="W428" s="3"/>
      <c r="X428" s="3"/>
      <c r="Y428" s="36"/>
    </row>
    <row r="429" spans="1:25" ht="12.75">
      <c r="A429" s="36" t="s">
        <v>38</v>
      </c>
      <c r="B429" s="36">
        <v>82</v>
      </c>
      <c r="C429" s="36"/>
      <c r="D429" s="36" t="s">
        <v>21</v>
      </c>
      <c r="E429" s="36" t="s">
        <v>197</v>
      </c>
      <c r="F429" s="36">
        <v>31</v>
      </c>
      <c r="G429" s="36"/>
      <c r="H429" s="36"/>
      <c r="I429" s="36"/>
      <c r="J429" s="36">
        <v>97</v>
      </c>
      <c r="K429" s="36"/>
      <c r="L429" s="36"/>
      <c r="M429" s="36"/>
      <c r="N429" s="36">
        <v>22</v>
      </c>
      <c r="O429" s="36">
        <v>4</v>
      </c>
      <c r="P429" s="36">
        <v>6</v>
      </c>
      <c r="Q429" s="36" t="s">
        <v>181</v>
      </c>
      <c r="R429" s="36" t="s">
        <v>176</v>
      </c>
      <c r="S429" s="36" t="s">
        <v>189</v>
      </c>
      <c r="T429" s="36" t="s">
        <v>237</v>
      </c>
      <c r="U429" s="3" t="s">
        <v>218</v>
      </c>
      <c r="V429" s="3" t="s">
        <v>219</v>
      </c>
      <c r="W429" s="3"/>
      <c r="X429" s="3"/>
      <c r="Y429" s="36" t="str">
        <f>HYPERLINK("http://www.stromypodkontrolou.cz/map/?draw_selection_circle=1#%7B%22lat%22%3A%2049.6623672498866%2C%20%22lng%22%3A%2018.6778368191199%2C%20%22zoom%22%3A%2020%7D")</f>
        <v>http://www.stromypodkontrolou.cz/map/?draw_selection_circle=1#%7B%22lat%22%3A%2049.6623672498866%2C%20%22lng%22%3A%2018.6778368191199%2C%20%22zoom%22%3A%2020%7D</v>
      </c>
    </row>
    <row r="430" spans="1:25" ht="12.7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" t="s">
        <v>171</v>
      </c>
      <c r="V430" s="3" t="s">
        <v>172</v>
      </c>
      <c r="W430" s="3"/>
      <c r="X430" s="3"/>
      <c r="Y430" s="36"/>
    </row>
    <row r="431" spans="1:25" ht="12.75">
      <c r="A431" s="36" t="s">
        <v>38</v>
      </c>
      <c r="B431" s="36">
        <v>73</v>
      </c>
      <c r="C431" s="36"/>
      <c r="D431" s="36" t="s">
        <v>21</v>
      </c>
      <c r="E431" s="36" t="s">
        <v>197</v>
      </c>
      <c r="F431" s="36">
        <v>26</v>
      </c>
      <c r="G431" s="36">
        <v>18</v>
      </c>
      <c r="H431" s="36"/>
      <c r="I431" s="36"/>
      <c r="J431" s="36">
        <v>82</v>
      </c>
      <c r="K431" s="36">
        <v>57</v>
      </c>
      <c r="L431" s="36"/>
      <c r="M431" s="36"/>
      <c r="N431" s="36">
        <v>20</v>
      </c>
      <c r="O431" s="36">
        <v>9</v>
      </c>
      <c r="P431" s="36">
        <v>6</v>
      </c>
      <c r="Q431" s="36" t="s">
        <v>181</v>
      </c>
      <c r="R431" s="36" t="s">
        <v>447</v>
      </c>
      <c r="S431" s="36" t="s">
        <v>189</v>
      </c>
      <c r="T431" s="36" t="s">
        <v>237</v>
      </c>
      <c r="U431" s="3" t="s">
        <v>218</v>
      </c>
      <c r="V431" s="3" t="s">
        <v>219</v>
      </c>
      <c r="W431" s="3"/>
      <c r="X431" s="3"/>
      <c r="Y431" s="36" t="str">
        <f>HYPERLINK("http://www.stromypodkontrolou.cz/map/?draw_selection_circle=1#%7B%22lat%22%3A%2049.6624778308006%2C%20%22lng%22%3A%2018.6777586906598%2C%20%22zoom%22%3A%2020%7D")</f>
        <v>http://www.stromypodkontrolou.cz/map/?draw_selection_circle=1#%7B%22lat%22%3A%2049.6624778308006%2C%20%22lng%22%3A%2018.6777586906598%2C%20%22zoom%22%3A%2020%7D</v>
      </c>
    </row>
    <row r="432" spans="1:25" ht="12.7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" t="s">
        <v>171</v>
      </c>
      <c r="V432" s="3" t="s">
        <v>172</v>
      </c>
      <c r="W432" s="3"/>
      <c r="X432" s="3"/>
      <c r="Y432" s="36"/>
    </row>
    <row r="433" spans="1:25" ht="12.75">
      <c r="A433" s="36" t="s">
        <v>38</v>
      </c>
      <c r="B433" s="36">
        <v>77</v>
      </c>
      <c r="C433" s="36"/>
      <c r="D433" s="36" t="s">
        <v>21</v>
      </c>
      <c r="E433" s="36" t="s">
        <v>197</v>
      </c>
      <c r="F433" s="36">
        <v>25</v>
      </c>
      <c r="G433" s="36"/>
      <c r="H433" s="36"/>
      <c r="I433" s="36"/>
      <c r="J433" s="36">
        <v>79</v>
      </c>
      <c r="K433" s="36"/>
      <c r="L433" s="36"/>
      <c r="M433" s="36"/>
      <c r="N433" s="36">
        <v>22</v>
      </c>
      <c r="O433" s="36">
        <v>12</v>
      </c>
      <c r="P433" s="36">
        <v>4</v>
      </c>
      <c r="Q433" s="36" t="s">
        <v>181</v>
      </c>
      <c r="R433" s="36" t="s">
        <v>448</v>
      </c>
      <c r="S433" s="36" t="s">
        <v>189</v>
      </c>
      <c r="T433" s="36" t="s">
        <v>237</v>
      </c>
      <c r="U433" s="3" t="s">
        <v>169</v>
      </c>
      <c r="V433" s="3" t="s">
        <v>170</v>
      </c>
      <c r="W433" s="3"/>
      <c r="X433" s="3"/>
      <c r="Y433" s="36" t="str">
        <f>HYPERLINK("http://www.stromypodkontrolou.cz/map/?draw_selection_circle=1#%7B%22lat%22%3A%2049.6624383026449%2C%20%22lng%22%3A%2018.677802238964%2C%20%22zoom%22%3A%2020%7D")</f>
        <v>http://www.stromypodkontrolou.cz/map/?draw_selection_circle=1#%7B%22lat%22%3A%2049.6624383026449%2C%20%22lng%22%3A%2018.677802238964%2C%20%22zoom%22%3A%2020%7D</v>
      </c>
    </row>
    <row r="434" spans="1:25" ht="12.7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" t="s">
        <v>171</v>
      </c>
      <c r="V434" s="3" t="s">
        <v>172</v>
      </c>
      <c r="W434" s="3"/>
      <c r="X434" s="3"/>
      <c r="Y434" s="36"/>
    </row>
    <row r="435" spans="1:25" ht="12.75">
      <c r="A435" s="36" t="s">
        <v>38</v>
      </c>
      <c r="B435" s="36">
        <v>74</v>
      </c>
      <c r="C435" s="36"/>
      <c r="D435" s="36" t="s">
        <v>21</v>
      </c>
      <c r="E435" s="36" t="s">
        <v>197</v>
      </c>
      <c r="F435" s="36">
        <v>47</v>
      </c>
      <c r="G435" s="36"/>
      <c r="H435" s="36"/>
      <c r="I435" s="36"/>
      <c r="J435" s="36">
        <v>148</v>
      </c>
      <c r="K435" s="36"/>
      <c r="L435" s="36"/>
      <c r="M435" s="36"/>
      <c r="N435" s="36">
        <v>22</v>
      </c>
      <c r="O435" s="36">
        <v>2</v>
      </c>
      <c r="P435" s="36">
        <v>11</v>
      </c>
      <c r="Q435" s="36" t="s">
        <v>181</v>
      </c>
      <c r="R435" s="36" t="s">
        <v>449</v>
      </c>
      <c r="S435" s="36" t="s">
        <v>189</v>
      </c>
      <c r="T435" s="36" t="s">
        <v>237</v>
      </c>
      <c r="U435" s="3" t="s">
        <v>171</v>
      </c>
      <c r="V435" s="3" t="s">
        <v>172</v>
      </c>
      <c r="W435" s="3"/>
      <c r="X435" s="3"/>
      <c r="Y435" s="36" t="str">
        <f>HYPERLINK("http://www.stromypodkontrolou.cz/map/?draw_selection_circle=1#%7B%22lat%22%3A%2049.6624614528299%2C%20%22lng%22%3A%2018.6776282356522%2C%20%22zoom%22%3A%2020%7D")</f>
        <v>http://www.stromypodkontrolou.cz/map/?draw_selection_circle=1#%7B%22lat%22%3A%2049.6624614528299%2C%20%22lng%22%3A%2018.6776282356522%2C%20%22zoom%22%3A%2020%7D</v>
      </c>
    </row>
    <row r="436" spans="1:25" ht="12.7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" t="s">
        <v>218</v>
      </c>
      <c r="V436" s="3" t="s">
        <v>219</v>
      </c>
      <c r="W436" s="3"/>
      <c r="X436" s="3"/>
      <c r="Y436" s="36"/>
    </row>
    <row r="437" spans="1:25" ht="12.75">
      <c r="A437" s="36" t="s">
        <v>38</v>
      </c>
      <c r="B437" s="36">
        <v>71</v>
      </c>
      <c r="C437" s="36"/>
      <c r="D437" s="36" t="s">
        <v>21</v>
      </c>
      <c r="E437" s="36" t="s">
        <v>197</v>
      </c>
      <c r="F437" s="36">
        <v>36</v>
      </c>
      <c r="G437" s="36"/>
      <c r="H437" s="36"/>
      <c r="I437" s="36"/>
      <c r="J437" s="36">
        <v>113</v>
      </c>
      <c r="K437" s="36"/>
      <c r="L437" s="36"/>
      <c r="M437" s="36"/>
      <c r="N437" s="36">
        <v>22</v>
      </c>
      <c r="O437" s="36">
        <v>2</v>
      </c>
      <c r="P437" s="36">
        <v>7</v>
      </c>
      <c r="Q437" s="36" t="s">
        <v>181</v>
      </c>
      <c r="R437" s="36" t="s">
        <v>184</v>
      </c>
      <c r="S437" s="36" t="s">
        <v>189</v>
      </c>
      <c r="T437" s="36" t="s">
        <v>237</v>
      </c>
      <c r="U437" s="3" t="s">
        <v>169</v>
      </c>
      <c r="V437" s="3" t="s">
        <v>170</v>
      </c>
      <c r="W437" s="3"/>
      <c r="X437" s="3"/>
      <c r="Y437" s="36" t="str">
        <f>HYPERLINK("http://www.stromypodkontrolou.cz/map/?draw_selection_circle=1#%7B%22lat%22%3A%2049.6625106939282%2C%20%22lng%22%3A%2018.677793254113%2C%20%22zoom%22%3A%2020%7D")</f>
        <v>http://www.stromypodkontrolou.cz/map/?draw_selection_circle=1#%7B%22lat%22%3A%2049.6625106939282%2C%20%22lng%22%3A%2018.677793254113%2C%20%22zoom%22%3A%2020%7D</v>
      </c>
    </row>
    <row r="438" spans="1:25" ht="12.7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" t="s">
        <v>171</v>
      </c>
      <c r="V438" s="3" t="s">
        <v>172</v>
      </c>
      <c r="W438" s="3"/>
      <c r="X438" s="3"/>
      <c r="Y438" s="36"/>
    </row>
    <row r="439" spans="1:25" ht="12.75">
      <c r="A439" s="36" t="s">
        <v>43</v>
      </c>
      <c r="B439" s="36">
        <v>19</v>
      </c>
      <c r="C439" s="36"/>
      <c r="D439" s="36" t="s">
        <v>24</v>
      </c>
      <c r="E439" s="36" t="s">
        <v>200</v>
      </c>
      <c r="F439" s="36">
        <v>31</v>
      </c>
      <c r="G439" s="36"/>
      <c r="H439" s="36"/>
      <c r="I439" s="36"/>
      <c r="J439" s="36">
        <v>97</v>
      </c>
      <c r="K439" s="36"/>
      <c r="L439" s="36"/>
      <c r="M439" s="36"/>
      <c r="N439" s="36">
        <v>19</v>
      </c>
      <c r="O439" s="36">
        <v>2</v>
      </c>
      <c r="P439" s="36">
        <v>5</v>
      </c>
      <c r="Q439" s="36" t="s">
        <v>181</v>
      </c>
      <c r="R439" s="36" t="s">
        <v>450</v>
      </c>
      <c r="S439" s="36" t="s">
        <v>7</v>
      </c>
      <c r="T439" s="36" t="s">
        <v>451</v>
      </c>
      <c r="U439" s="3" t="s">
        <v>218</v>
      </c>
      <c r="V439" s="3" t="s">
        <v>219</v>
      </c>
      <c r="W439" s="3"/>
      <c r="X439" s="3"/>
      <c r="Y439" s="36" t="str">
        <f>HYPERLINK("http://www.stromypodkontrolou.cz/map/?draw_selection_circle=1#%7B%22lat%22%3A%2049.6745339207919%2C%20%22lng%22%3A%2018.6707316677345%2C%20%22zoom%22%3A%2020%7D")</f>
        <v>http://www.stromypodkontrolou.cz/map/?draw_selection_circle=1#%7B%22lat%22%3A%2049.6745339207919%2C%20%22lng%22%3A%2018.6707316677345%2C%20%22zoom%22%3A%2020%7D</v>
      </c>
    </row>
    <row r="440" spans="1:25" ht="12.7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" t="s">
        <v>171</v>
      </c>
      <c r="V440" s="3" t="s">
        <v>172</v>
      </c>
      <c r="W440" s="3"/>
      <c r="X440" s="3"/>
      <c r="Y440" s="36"/>
    </row>
    <row r="441" spans="1:25" ht="12.75">
      <c r="A441" s="36" t="s">
        <v>43</v>
      </c>
      <c r="B441" s="36">
        <v>20</v>
      </c>
      <c r="C441" s="36"/>
      <c r="D441" s="36" t="s">
        <v>24</v>
      </c>
      <c r="E441" s="36" t="s">
        <v>200</v>
      </c>
      <c r="F441" s="36">
        <v>45</v>
      </c>
      <c r="G441" s="36"/>
      <c r="H441" s="36"/>
      <c r="I441" s="36"/>
      <c r="J441" s="36">
        <v>141</v>
      </c>
      <c r="K441" s="36"/>
      <c r="L441" s="36"/>
      <c r="M441" s="36"/>
      <c r="N441" s="36">
        <v>19</v>
      </c>
      <c r="O441" s="36">
        <v>2</v>
      </c>
      <c r="P441" s="36">
        <v>7</v>
      </c>
      <c r="Q441" s="36" t="s">
        <v>301</v>
      </c>
      <c r="R441" s="36" t="s">
        <v>296</v>
      </c>
      <c r="S441" s="36" t="s">
        <v>7</v>
      </c>
      <c r="T441" s="36" t="s">
        <v>451</v>
      </c>
      <c r="U441" s="3" t="s">
        <v>191</v>
      </c>
      <c r="V441" s="3" t="s">
        <v>192</v>
      </c>
      <c r="W441" s="3"/>
      <c r="X441" s="3"/>
      <c r="Y441" s="36" t="str">
        <f>HYPERLINK("http://www.stromypodkontrolou.cz/map/?draw_selection_circle=1#%7B%22lat%22%3A%2049.6745497569105%2C%20%22lng%22%3A%2018.6707425319538%2C%20%22zoom%22%3A%2020%7D")</f>
        <v>http://www.stromypodkontrolou.cz/map/?draw_selection_circle=1#%7B%22lat%22%3A%2049.6745497569105%2C%20%22lng%22%3A%2018.6707425319538%2C%20%22zoom%22%3A%2020%7D</v>
      </c>
    </row>
    <row r="442" spans="1:25" ht="12.7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" t="s">
        <v>171</v>
      </c>
      <c r="V442" s="3" t="s">
        <v>172</v>
      </c>
      <c r="W442" s="3"/>
      <c r="X442" s="3"/>
      <c r="Y442" s="36"/>
    </row>
    <row r="443" spans="1:25" ht="12.75">
      <c r="A443" s="3" t="s">
        <v>43</v>
      </c>
      <c r="B443" s="3">
        <v>146</v>
      </c>
      <c r="C443" s="3"/>
      <c r="D443" s="3" t="s">
        <v>11</v>
      </c>
      <c r="E443" s="3" t="s">
        <v>173</v>
      </c>
      <c r="F443" s="3">
        <v>32</v>
      </c>
      <c r="G443" s="3"/>
      <c r="H443" s="3"/>
      <c r="I443" s="3"/>
      <c r="J443" s="3">
        <v>101</v>
      </c>
      <c r="K443" s="3"/>
      <c r="L443" s="3"/>
      <c r="M443" s="3"/>
      <c r="N443" s="3">
        <v>19</v>
      </c>
      <c r="O443" s="3">
        <v>6</v>
      </c>
      <c r="P443" s="3">
        <v>6</v>
      </c>
      <c r="Q443" s="3" t="s">
        <v>301</v>
      </c>
      <c r="R443" s="3" t="s">
        <v>302</v>
      </c>
      <c r="S443" s="3" t="s">
        <v>7</v>
      </c>
      <c r="T443" s="3" t="s">
        <v>253</v>
      </c>
      <c r="U443" s="3" t="s">
        <v>218</v>
      </c>
      <c r="V443" s="3" t="s">
        <v>219</v>
      </c>
      <c r="W443" s="3"/>
      <c r="X443" s="3"/>
      <c r="Y443" s="3" t="str">
        <f>HYPERLINK("http://www.stromypodkontrolou.cz/map/?draw_selection_circle=1#%7B%22lat%22%3A%2049.67383816901%2C%20%22lng%22%3A%2018.6701011676954%2C%20%22zoom%22%3A%2020%7D")</f>
        <v>http://www.stromypodkontrolou.cz/map/?draw_selection_circle=1#%7B%22lat%22%3A%2049.67383816901%2C%20%22lng%22%3A%2018.6701011676954%2C%20%22zoom%22%3A%2020%7D</v>
      </c>
    </row>
    <row r="444" spans="1:25" ht="12.75">
      <c r="A444" s="36" t="s">
        <v>73</v>
      </c>
      <c r="B444" s="36">
        <v>93</v>
      </c>
      <c r="C444" s="36"/>
      <c r="D444" s="36" t="s">
        <v>92</v>
      </c>
      <c r="E444" s="36" t="s">
        <v>329</v>
      </c>
      <c r="F444" s="36">
        <v>48</v>
      </c>
      <c r="G444" s="36"/>
      <c r="H444" s="36"/>
      <c r="I444" s="36"/>
      <c r="J444" s="36">
        <v>151</v>
      </c>
      <c r="K444" s="36"/>
      <c r="L444" s="36"/>
      <c r="M444" s="36"/>
      <c r="N444" s="36">
        <v>19</v>
      </c>
      <c r="O444" s="36">
        <v>2</v>
      </c>
      <c r="P444" s="36">
        <v>12</v>
      </c>
      <c r="Q444" s="36" t="s">
        <v>301</v>
      </c>
      <c r="R444" s="36" t="s">
        <v>452</v>
      </c>
      <c r="S444" s="36" t="s">
        <v>189</v>
      </c>
      <c r="T444" s="36" t="s">
        <v>354</v>
      </c>
      <c r="U444" s="3" t="s">
        <v>191</v>
      </c>
      <c r="V444" s="3" t="s">
        <v>192</v>
      </c>
      <c r="W444" s="3"/>
      <c r="X444" s="3"/>
      <c r="Y444" s="36" t="str">
        <f>HYPERLINK("http://www.stromypodkontrolou.cz/map/?draw_selection_circle=1#%7B%22lat%22%3A%2049.6633424247919%2C%20%22lng%22%3A%2018.6764440880386%2C%20%22zoom%22%3A%2020%7D")</f>
        <v>http://www.stromypodkontrolou.cz/map/?draw_selection_circle=1#%7B%22lat%22%3A%2049.6633424247919%2C%20%22lng%22%3A%2018.6764440880386%2C%20%22zoom%22%3A%2020%7D</v>
      </c>
    </row>
    <row r="445" spans="1:25" ht="12.7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" t="s">
        <v>171</v>
      </c>
      <c r="V445" s="3" t="s">
        <v>172</v>
      </c>
      <c r="W445" s="3"/>
      <c r="X445" s="3"/>
      <c r="Y445" s="36"/>
    </row>
    <row r="446" spans="1:25" ht="12.75">
      <c r="A446" s="36" t="s">
        <v>73</v>
      </c>
      <c r="B446" s="36">
        <v>121</v>
      </c>
      <c r="C446" s="36"/>
      <c r="D446" s="36" t="s">
        <v>131</v>
      </c>
      <c r="E446" s="36" t="s">
        <v>453</v>
      </c>
      <c r="F446" s="36">
        <v>40</v>
      </c>
      <c r="G446" s="36"/>
      <c r="H446" s="36"/>
      <c r="I446" s="36"/>
      <c r="J446" s="36">
        <v>126</v>
      </c>
      <c r="K446" s="36"/>
      <c r="L446" s="36"/>
      <c r="M446" s="36"/>
      <c r="N446" s="36">
        <v>6</v>
      </c>
      <c r="O446" s="36">
        <v>2</v>
      </c>
      <c r="P446" s="36">
        <v>8</v>
      </c>
      <c r="Q446" s="36" t="s">
        <v>301</v>
      </c>
      <c r="R446" s="36" t="s">
        <v>454</v>
      </c>
      <c r="S446" s="36" t="s">
        <v>189</v>
      </c>
      <c r="T446" s="36" t="s">
        <v>455</v>
      </c>
      <c r="U446" s="3" t="s">
        <v>218</v>
      </c>
      <c r="V446" s="3" t="s">
        <v>219</v>
      </c>
      <c r="W446" s="3"/>
      <c r="X446" s="3"/>
      <c r="Y446" s="36" t="str">
        <f>HYPERLINK("http://www.stromypodkontrolou.cz/map/?draw_selection_circle=1#%7B%22lat%22%3A%2049.6633447115571%2C%20%22lng%22%3A%2018.6762137861958%2C%20%22zoom%22%3A%2020%7D")</f>
        <v>http://www.stromypodkontrolou.cz/map/?draw_selection_circle=1#%7B%22lat%22%3A%2049.6633447115571%2C%20%22lng%22%3A%2018.6762137861958%2C%20%22zoom%22%3A%2020%7D</v>
      </c>
    </row>
    <row r="447" spans="1:25" ht="12.7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" t="s">
        <v>171</v>
      </c>
      <c r="V447" s="3" t="s">
        <v>172</v>
      </c>
      <c r="W447" s="3"/>
      <c r="X447" s="3"/>
      <c r="Y447" s="36"/>
    </row>
    <row r="448" spans="1:25" ht="12.75">
      <c r="A448" s="36" t="s">
        <v>73</v>
      </c>
      <c r="B448" s="36">
        <v>144</v>
      </c>
      <c r="C448" s="36"/>
      <c r="D448" s="36" t="s">
        <v>11</v>
      </c>
      <c r="E448" s="36" t="s">
        <v>173</v>
      </c>
      <c r="F448" s="36">
        <v>27</v>
      </c>
      <c r="G448" s="36"/>
      <c r="H448" s="36"/>
      <c r="I448" s="36"/>
      <c r="J448" s="36">
        <v>85</v>
      </c>
      <c r="K448" s="36"/>
      <c r="L448" s="36"/>
      <c r="M448" s="36"/>
      <c r="N448" s="36">
        <v>16</v>
      </c>
      <c r="O448" s="36">
        <v>2</v>
      </c>
      <c r="P448" s="36">
        <v>6</v>
      </c>
      <c r="Q448" s="36" t="s">
        <v>181</v>
      </c>
      <c r="R448" s="36" t="s">
        <v>456</v>
      </c>
      <c r="S448" s="36" t="s">
        <v>189</v>
      </c>
      <c r="T448" s="36" t="s">
        <v>298</v>
      </c>
      <c r="U448" s="3" t="s">
        <v>218</v>
      </c>
      <c r="V448" s="3" t="s">
        <v>219</v>
      </c>
      <c r="W448" s="3"/>
      <c r="X448" s="3"/>
      <c r="Y448" s="36" t="str">
        <f>HYPERLINK("http://www.stromypodkontrolou.cz/map/?draw_selection_circle=1#%7B%22lat%22%3A%2049.6630978482316%2C%20%22lng%22%3A%2018.6786991645705%2C%20%22zoom%22%3A%2020%7D")</f>
        <v>http://www.stromypodkontrolou.cz/map/?draw_selection_circle=1#%7B%22lat%22%3A%2049.6630978482316%2C%20%22lng%22%3A%2018.6786991645705%2C%20%22zoom%22%3A%2020%7D</v>
      </c>
    </row>
    <row r="449" spans="1:25" ht="12.7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" t="s">
        <v>171</v>
      </c>
      <c r="V449" s="3" t="s">
        <v>172</v>
      </c>
      <c r="W449" s="3"/>
      <c r="X449" s="3"/>
      <c r="Y449" s="36"/>
    </row>
    <row r="450" spans="1:25" ht="12.75">
      <c r="A450" s="36" t="s">
        <v>73</v>
      </c>
      <c r="B450" s="36">
        <v>113</v>
      </c>
      <c r="C450" s="36"/>
      <c r="D450" s="36" t="s">
        <v>21</v>
      </c>
      <c r="E450" s="36" t="s">
        <v>197</v>
      </c>
      <c r="F450" s="36">
        <v>34</v>
      </c>
      <c r="G450" s="36"/>
      <c r="H450" s="36"/>
      <c r="I450" s="36"/>
      <c r="J450" s="36">
        <v>107</v>
      </c>
      <c r="K450" s="36"/>
      <c r="L450" s="36"/>
      <c r="M450" s="36"/>
      <c r="N450" s="36">
        <v>17</v>
      </c>
      <c r="O450" s="36">
        <v>2</v>
      </c>
      <c r="P450" s="36">
        <v>6</v>
      </c>
      <c r="Q450" s="36" t="s">
        <v>166</v>
      </c>
      <c r="R450" s="36" t="s">
        <v>208</v>
      </c>
      <c r="S450" s="36" t="s">
        <v>189</v>
      </c>
      <c r="T450" s="36" t="s">
        <v>354</v>
      </c>
      <c r="U450" s="3" t="s">
        <v>224</v>
      </c>
      <c r="V450" s="3" t="s">
        <v>225</v>
      </c>
      <c r="W450" s="3"/>
      <c r="X450" s="3"/>
      <c r="Y450" s="36" t="str">
        <f>HYPERLINK("http://www.stromypodkontrolou.cz/map/?draw_selection_circle=1#%7B%22lat%22%3A%2049.6637037892368%2C%20%22lng%22%3A%2018.6772170305312%2C%20%22zoom%22%3A%2020%7D")</f>
        <v>http://www.stromypodkontrolou.cz/map/?draw_selection_circle=1#%7B%22lat%22%3A%2049.6637037892368%2C%20%22lng%22%3A%2018.6772170305312%2C%20%22zoom%22%3A%2020%7D</v>
      </c>
    </row>
    <row r="451" spans="1:25" ht="12.7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" t="s">
        <v>171</v>
      </c>
      <c r="V451" s="3" t="s">
        <v>172</v>
      </c>
      <c r="W451" s="3"/>
      <c r="X451" s="3"/>
      <c r="Y451" s="36"/>
    </row>
    <row r="452" spans="1:25" ht="12.75">
      <c r="A452" s="36" t="s">
        <v>73</v>
      </c>
      <c r="B452" s="36">
        <v>43</v>
      </c>
      <c r="C452" s="36"/>
      <c r="D452" s="36" t="s">
        <v>21</v>
      </c>
      <c r="E452" s="36" t="s">
        <v>197</v>
      </c>
      <c r="F452" s="36">
        <v>35</v>
      </c>
      <c r="G452" s="36"/>
      <c r="H452" s="36"/>
      <c r="I452" s="36"/>
      <c r="J452" s="36">
        <v>110</v>
      </c>
      <c r="K452" s="36"/>
      <c r="L452" s="36"/>
      <c r="M452" s="36"/>
      <c r="N452" s="36">
        <v>18</v>
      </c>
      <c r="O452" s="36">
        <v>2</v>
      </c>
      <c r="P452" s="36">
        <v>6</v>
      </c>
      <c r="Q452" s="36" t="s">
        <v>181</v>
      </c>
      <c r="R452" s="36" t="s">
        <v>457</v>
      </c>
      <c r="S452" s="36" t="s">
        <v>189</v>
      </c>
      <c r="T452" s="36" t="s">
        <v>354</v>
      </c>
      <c r="U452" s="3" t="s">
        <v>171</v>
      </c>
      <c r="V452" s="3" t="s">
        <v>172</v>
      </c>
      <c r="W452" s="3"/>
      <c r="X452" s="3"/>
      <c r="Y452" s="36" t="str">
        <f>HYPERLINK("http://www.stromypodkontrolou.cz/map/?draw_selection_circle=1#%7B%22lat%22%3A%2049.6643765414718%2C%20%22lng%22%3A%2018.6769054425579%2C%20%22zoom%22%3A%2020%7D")</f>
        <v>http://www.stromypodkontrolou.cz/map/?draw_selection_circle=1#%7B%22lat%22%3A%2049.6643765414718%2C%20%22lng%22%3A%2018.6769054425579%2C%20%22zoom%22%3A%2020%7D</v>
      </c>
    </row>
    <row r="453" spans="1:25" ht="12.7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" t="s">
        <v>191</v>
      </c>
      <c r="V453" s="3" t="s">
        <v>192</v>
      </c>
      <c r="W453" s="3"/>
      <c r="X453" s="3"/>
      <c r="Y453" s="36"/>
    </row>
    <row r="454" spans="1:25" ht="12.75">
      <c r="A454" s="36" t="s">
        <v>73</v>
      </c>
      <c r="B454" s="36">
        <v>161</v>
      </c>
      <c r="C454" s="36"/>
      <c r="D454" s="36" t="s">
        <v>65</v>
      </c>
      <c r="E454" s="36" t="s">
        <v>280</v>
      </c>
      <c r="F454" s="36">
        <v>34</v>
      </c>
      <c r="G454" s="36"/>
      <c r="H454" s="36"/>
      <c r="I454" s="36"/>
      <c r="J454" s="36">
        <v>107</v>
      </c>
      <c r="K454" s="36"/>
      <c r="L454" s="36"/>
      <c r="M454" s="36"/>
      <c r="N454" s="36">
        <v>8</v>
      </c>
      <c r="O454" s="36">
        <v>1</v>
      </c>
      <c r="P454" s="36">
        <v>8</v>
      </c>
      <c r="Q454" s="36" t="s">
        <v>181</v>
      </c>
      <c r="R454" s="36" t="s">
        <v>458</v>
      </c>
      <c r="S454" s="36" t="s">
        <v>189</v>
      </c>
      <c r="T454" s="36" t="s">
        <v>298</v>
      </c>
      <c r="U454" s="3" t="s">
        <v>169</v>
      </c>
      <c r="V454" s="3" t="s">
        <v>170</v>
      </c>
      <c r="W454" s="3"/>
      <c r="X454" s="3"/>
      <c r="Y454" s="36" t="str">
        <f>HYPERLINK("http://www.stromypodkontrolou.cz/map/?draw_selection_circle=1#%7B%22lat%22%3A%2049.6637293418538%2C%20%22lng%22%3A%2018.6784293780398%2C%20%22zoom%22%3A%2020%7D")</f>
        <v>http://www.stromypodkontrolou.cz/map/?draw_selection_circle=1#%7B%22lat%22%3A%2049.6637293418538%2C%20%22lng%22%3A%2018.6784293780398%2C%20%22zoom%22%3A%2020%7D</v>
      </c>
    </row>
    <row r="455" spans="1:25" ht="12.7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" t="s">
        <v>171</v>
      </c>
      <c r="V455" s="3" t="s">
        <v>172</v>
      </c>
      <c r="W455" s="3"/>
      <c r="X455" s="3"/>
      <c r="Y455" s="36"/>
    </row>
    <row r="456" spans="1:25" ht="12.75">
      <c r="A456" s="36" t="s">
        <v>73</v>
      </c>
      <c r="B456" s="36">
        <v>160</v>
      </c>
      <c r="C456" s="36"/>
      <c r="D456" s="36" t="s">
        <v>65</v>
      </c>
      <c r="E456" s="36" t="s">
        <v>280</v>
      </c>
      <c r="F456" s="36">
        <v>37</v>
      </c>
      <c r="G456" s="36"/>
      <c r="H456" s="36"/>
      <c r="I456" s="36"/>
      <c r="J456" s="36">
        <v>116</v>
      </c>
      <c r="K456" s="36"/>
      <c r="L456" s="36"/>
      <c r="M456" s="36"/>
      <c r="N456" s="36">
        <v>11</v>
      </c>
      <c r="O456" s="36">
        <v>2</v>
      </c>
      <c r="P456" s="36">
        <v>10</v>
      </c>
      <c r="Q456" s="36" t="s">
        <v>181</v>
      </c>
      <c r="R456" s="36" t="s">
        <v>459</v>
      </c>
      <c r="S456" s="36" t="s">
        <v>189</v>
      </c>
      <c r="T456" s="36" t="s">
        <v>298</v>
      </c>
      <c r="U456" s="3" t="s">
        <v>169</v>
      </c>
      <c r="V456" s="3" t="s">
        <v>170</v>
      </c>
      <c r="W456" s="3"/>
      <c r="X456" s="3"/>
      <c r="Y456" s="36" t="str">
        <f>HYPERLINK("http://www.stromypodkontrolou.cz/map/?draw_selection_circle=1#%7B%22lat%22%3A%2049.6636683960363%2C%20%22lng%22%3A%2018.678451662942%2C%20%22zoom%22%3A%2020%7D")</f>
        <v>http://www.stromypodkontrolou.cz/map/?draw_selection_circle=1#%7B%22lat%22%3A%2049.6636683960363%2C%20%22lng%22%3A%2018.678451662942%2C%20%22zoom%22%3A%2020%7D</v>
      </c>
    </row>
    <row r="457" spans="1:25" ht="12.7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" t="s">
        <v>171</v>
      </c>
      <c r="V457" s="3" t="s">
        <v>172</v>
      </c>
      <c r="W457" s="3"/>
      <c r="X457" s="3"/>
      <c r="Y457" s="36"/>
    </row>
    <row r="458" spans="1:25" ht="12.75">
      <c r="A458" s="36" t="s">
        <v>73</v>
      </c>
      <c r="B458" s="36">
        <v>171</v>
      </c>
      <c r="C458" s="36"/>
      <c r="D458" s="36" t="s">
        <v>21</v>
      </c>
      <c r="E458" s="36" t="s">
        <v>197</v>
      </c>
      <c r="F458" s="36">
        <v>30</v>
      </c>
      <c r="G458" s="36"/>
      <c r="H458" s="36"/>
      <c r="I458" s="36"/>
      <c r="J458" s="36">
        <v>94</v>
      </c>
      <c r="K458" s="36"/>
      <c r="L458" s="36"/>
      <c r="M458" s="36"/>
      <c r="N458" s="36">
        <v>18</v>
      </c>
      <c r="O458" s="36">
        <v>1</v>
      </c>
      <c r="P458" s="36">
        <v>4</v>
      </c>
      <c r="Q458" s="36" t="s">
        <v>179</v>
      </c>
      <c r="R458" s="36" t="s">
        <v>196</v>
      </c>
      <c r="S458" s="36" t="s">
        <v>189</v>
      </c>
      <c r="T458" s="36" t="s">
        <v>298</v>
      </c>
      <c r="U458" s="3" t="s">
        <v>171</v>
      </c>
      <c r="V458" s="3" t="s">
        <v>172</v>
      </c>
      <c r="W458" s="3"/>
      <c r="X458" s="3"/>
      <c r="Y458" s="36" t="str">
        <f>HYPERLINK("http://www.stromypodkontrolou.cz/map/?draw_selection_circle=1#%7B%22lat%22%3A%2049.6638449907%2C%20%22lng%22%3A%2018.6788410952%2C%20%22zoom%22%3A%2020%7D")</f>
        <v>http://www.stromypodkontrolou.cz/map/?draw_selection_circle=1#%7B%22lat%22%3A%2049.6638449907%2C%20%22lng%22%3A%2018.6788410952%2C%20%22zoom%22%3A%2020%7D</v>
      </c>
    </row>
    <row r="459" spans="1:25" ht="12.7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" t="s">
        <v>169</v>
      </c>
      <c r="V459" s="3" t="s">
        <v>170</v>
      </c>
      <c r="W459" s="3"/>
      <c r="X459" s="3"/>
      <c r="Y459" s="36"/>
    </row>
    <row r="460" spans="1:25" ht="12.75">
      <c r="A460" s="36" t="s">
        <v>107</v>
      </c>
      <c r="B460" s="36">
        <v>22</v>
      </c>
      <c r="C460" s="36"/>
      <c r="D460" s="36" t="s">
        <v>114</v>
      </c>
      <c r="E460" s="36" t="s">
        <v>381</v>
      </c>
      <c r="F460" s="36">
        <v>27</v>
      </c>
      <c r="G460" s="36"/>
      <c r="H460" s="36"/>
      <c r="I460" s="36"/>
      <c r="J460" s="36">
        <v>85</v>
      </c>
      <c r="K460" s="36"/>
      <c r="L460" s="36"/>
      <c r="M460" s="36"/>
      <c r="N460" s="36">
        <v>7</v>
      </c>
      <c r="O460" s="36">
        <v>2</v>
      </c>
      <c r="P460" s="36">
        <v>5</v>
      </c>
      <c r="Q460" s="36" t="s">
        <v>166</v>
      </c>
      <c r="R460" s="36" t="s">
        <v>460</v>
      </c>
      <c r="S460" s="36" t="s">
        <v>189</v>
      </c>
      <c r="T460" s="36" t="s">
        <v>349</v>
      </c>
      <c r="U460" s="3" t="s">
        <v>191</v>
      </c>
      <c r="V460" s="3" t="s">
        <v>192</v>
      </c>
      <c r="W460" s="3"/>
      <c r="X460" s="3"/>
      <c r="Y460" s="36" t="str">
        <f>HYPERLINK("http://www.stromypodkontrolou.cz/map/?draw_selection_circle=1#%7B%22lat%22%3A%2049.6601661859624%2C%20%22lng%22%3A%2018.6716610961846%2C%20%22zoom%22%3A%2020%7D")</f>
        <v>http://www.stromypodkontrolou.cz/map/?draw_selection_circle=1#%7B%22lat%22%3A%2049.6601661859624%2C%20%22lng%22%3A%2018.6716610961846%2C%20%22zoom%22%3A%2020%7D</v>
      </c>
    </row>
    <row r="461" spans="1:25" ht="12.7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" t="s">
        <v>171</v>
      </c>
      <c r="V461" s="3" t="s">
        <v>172</v>
      </c>
      <c r="W461" s="3"/>
      <c r="X461" s="3"/>
      <c r="Y461" s="36"/>
    </row>
    <row r="462" spans="1:25" ht="12.75">
      <c r="A462" s="36" t="s">
        <v>107</v>
      </c>
      <c r="B462" s="36">
        <v>27</v>
      </c>
      <c r="C462" s="36"/>
      <c r="D462" s="36" t="s">
        <v>132</v>
      </c>
      <c r="E462" s="36" t="s">
        <v>461</v>
      </c>
      <c r="F462" s="36">
        <v>10</v>
      </c>
      <c r="G462" s="36">
        <v>10</v>
      </c>
      <c r="H462" s="36">
        <v>10</v>
      </c>
      <c r="I462" s="36">
        <v>9</v>
      </c>
      <c r="J462" s="36">
        <v>31</v>
      </c>
      <c r="K462" s="36">
        <v>31</v>
      </c>
      <c r="L462" s="36">
        <v>31</v>
      </c>
      <c r="M462" s="36">
        <v>28</v>
      </c>
      <c r="N462" s="36">
        <v>9</v>
      </c>
      <c r="O462" s="36">
        <v>2</v>
      </c>
      <c r="P462" s="36">
        <v>5</v>
      </c>
      <c r="Q462" s="36" t="s">
        <v>166</v>
      </c>
      <c r="R462" s="36" t="s">
        <v>462</v>
      </c>
      <c r="S462" s="36" t="s">
        <v>189</v>
      </c>
      <c r="T462" s="36"/>
      <c r="U462" s="3" t="s">
        <v>169</v>
      </c>
      <c r="V462" s="3" t="s">
        <v>170</v>
      </c>
      <c r="W462" s="3"/>
      <c r="X462" s="3"/>
      <c r="Y462" s="36" t="str">
        <f>HYPERLINK("http://www.stromypodkontrolou.cz/map/?draw_selection_circle=1#%7B%22lat%22%3A%2049.6603709006248%2C%20%22lng%22%3A%2018.671824580861%2C%20%22zoom%22%3A%2020%7D")</f>
        <v>http://www.stromypodkontrolou.cz/map/?draw_selection_circle=1#%7B%22lat%22%3A%2049.6603709006248%2C%20%22lng%22%3A%2018.671824580861%2C%20%22zoom%22%3A%2020%7D</v>
      </c>
    </row>
    <row r="463" spans="1:25" ht="12.7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" t="s">
        <v>171</v>
      </c>
      <c r="V463" s="3" t="s">
        <v>172</v>
      </c>
      <c r="W463" s="3"/>
      <c r="X463" s="3"/>
      <c r="Y463" s="36"/>
    </row>
    <row r="464" spans="1:25" ht="12.75">
      <c r="A464" s="36" t="s">
        <v>107</v>
      </c>
      <c r="B464" s="36">
        <v>26</v>
      </c>
      <c r="C464" s="36"/>
      <c r="D464" s="36" t="s">
        <v>132</v>
      </c>
      <c r="E464" s="36" t="s">
        <v>461</v>
      </c>
      <c r="F464" s="36">
        <v>12</v>
      </c>
      <c r="G464" s="36">
        <v>9</v>
      </c>
      <c r="H464" s="36">
        <v>8</v>
      </c>
      <c r="I464" s="36">
        <v>6</v>
      </c>
      <c r="J464" s="36">
        <v>38</v>
      </c>
      <c r="K464" s="36">
        <v>28</v>
      </c>
      <c r="L464" s="36">
        <v>25</v>
      </c>
      <c r="M464" s="36">
        <v>19</v>
      </c>
      <c r="N464" s="36">
        <v>9</v>
      </c>
      <c r="O464" s="36">
        <v>1</v>
      </c>
      <c r="P464" s="36">
        <v>6</v>
      </c>
      <c r="Q464" s="36" t="s">
        <v>181</v>
      </c>
      <c r="R464" s="36" t="s">
        <v>239</v>
      </c>
      <c r="S464" s="36" t="s">
        <v>189</v>
      </c>
      <c r="T464" s="36"/>
      <c r="U464" s="3" t="s">
        <v>169</v>
      </c>
      <c r="V464" s="3" t="s">
        <v>170</v>
      </c>
      <c r="W464" s="3"/>
      <c r="X464" s="3"/>
      <c r="Y464" s="36" t="str">
        <f>HYPERLINK("http://www.stromypodkontrolou.cz/map/?draw_selection_circle=1#%7B%22lat%22%3A%2049.6603980293734%2C%20%22lng%22%3A%2018.6720485453201%2C%20%22zoom%22%3A%2020%7D")</f>
        <v>http://www.stromypodkontrolou.cz/map/?draw_selection_circle=1#%7B%22lat%22%3A%2049.6603980293734%2C%20%22lng%22%3A%2018.6720485453201%2C%20%22zoom%22%3A%2020%7D</v>
      </c>
    </row>
    <row r="465" spans="1:25" ht="12.7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" t="s">
        <v>171</v>
      </c>
      <c r="V465" s="3" t="s">
        <v>172</v>
      </c>
      <c r="W465" s="3"/>
      <c r="X465" s="3"/>
      <c r="Y465" s="36"/>
    </row>
    <row r="466" spans="1:25" ht="12.75">
      <c r="A466" s="36" t="s">
        <v>47</v>
      </c>
      <c r="B466" s="36">
        <v>94</v>
      </c>
      <c r="C466" s="36"/>
      <c r="D466" s="36" t="s">
        <v>10</v>
      </c>
      <c r="E466" s="36" t="s">
        <v>165</v>
      </c>
      <c r="F466" s="36">
        <v>47</v>
      </c>
      <c r="G466" s="36"/>
      <c r="H466" s="36"/>
      <c r="I466" s="36"/>
      <c r="J466" s="36">
        <v>148</v>
      </c>
      <c r="K466" s="36"/>
      <c r="L466" s="36"/>
      <c r="M466" s="36"/>
      <c r="N466" s="36">
        <v>19</v>
      </c>
      <c r="O466" s="36">
        <v>4</v>
      </c>
      <c r="P466" s="36">
        <v>12</v>
      </c>
      <c r="Q466" s="36" t="s">
        <v>181</v>
      </c>
      <c r="R466" s="36" t="s">
        <v>463</v>
      </c>
      <c r="S466" s="36" t="s">
        <v>250</v>
      </c>
      <c r="T466" s="36" t="s">
        <v>251</v>
      </c>
      <c r="U466" s="3" t="s">
        <v>218</v>
      </c>
      <c r="V466" s="3" t="s">
        <v>219</v>
      </c>
      <c r="W466" s="3"/>
      <c r="X466" s="3"/>
      <c r="Y466" s="36" t="str">
        <f>HYPERLINK("http://www.stromypodkontrolou.cz/map/?draw_selection_circle=1#%7B%22lat%22%3A%2049.6779276189%2C%20%22lng%22%3A%2018.646455303%2C%20%22zoom%22%3A%2020%7D")</f>
        <v>http://www.stromypodkontrolou.cz/map/?draw_selection_circle=1#%7B%22lat%22%3A%2049.6779276189%2C%20%22lng%22%3A%2018.646455303%2C%20%22zoom%22%3A%2020%7D</v>
      </c>
    </row>
    <row r="467" spans="1:25" ht="12.7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" t="s">
        <v>171</v>
      </c>
      <c r="V467" s="3" t="s">
        <v>172</v>
      </c>
      <c r="W467" s="3"/>
      <c r="X467" s="3"/>
      <c r="Y467" s="36"/>
    </row>
    <row r="468" spans="1:25" ht="12.75">
      <c r="A468" s="36" t="s">
        <v>47</v>
      </c>
      <c r="B468" s="36">
        <v>120</v>
      </c>
      <c r="C468" s="36"/>
      <c r="D468" s="36" t="s">
        <v>133</v>
      </c>
      <c r="E468" s="36" t="s">
        <v>464</v>
      </c>
      <c r="F468" s="36">
        <v>54</v>
      </c>
      <c r="G468" s="36"/>
      <c r="H468" s="36"/>
      <c r="I468" s="36"/>
      <c r="J468" s="36">
        <v>170</v>
      </c>
      <c r="K468" s="36"/>
      <c r="L468" s="36"/>
      <c r="M468" s="36"/>
      <c r="N468" s="36">
        <v>18</v>
      </c>
      <c r="O468" s="36">
        <v>2</v>
      </c>
      <c r="P468" s="36">
        <v>8</v>
      </c>
      <c r="Q468" s="36" t="s">
        <v>301</v>
      </c>
      <c r="R468" s="36" t="s">
        <v>465</v>
      </c>
      <c r="S468" s="36" t="s">
        <v>250</v>
      </c>
      <c r="T468" s="36" t="s">
        <v>251</v>
      </c>
      <c r="U468" s="3" t="s">
        <v>191</v>
      </c>
      <c r="V468" s="3" t="s">
        <v>192</v>
      </c>
      <c r="W468" s="3"/>
      <c r="X468" s="3"/>
      <c r="Y468" s="36" t="str">
        <f>HYPERLINK("http://www.stromypodkontrolou.cz/map/?draw_selection_circle=1#%7B%22lat%22%3A%2049.6778000868727%2C%20%22lng%22%3A%2018.6458032455988%2C%20%22zoom%22%3A%2020%7D")</f>
        <v>http://www.stromypodkontrolou.cz/map/?draw_selection_circle=1#%7B%22lat%22%3A%2049.6778000868727%2C%20%22lng%22%3A%2018.6458032455988%2C%20%22zoom%22%3A%2020%7D</v>
      </c>
    </row>
    <row r="469" spans="1:25" ht="12.7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" t="s">
        <v>171</v>
      </c>
      <c r="V469" s="3" t="s">
        <v>172</v>
      </c>
      <c r="W469" s="3"/>
      <c r="X469" s="3"/>
      <c r="Y469" s="36"/>
    </row>
    <row r="470" spans="1:25" ht="12.75">
      <c r="A470" s="36" t="s">
        <v>47</v>
      </c>
      <c r="B470" s="36">
        <v>67</v>
      </c>
      <c r="C470" s="36"/>
      <c r="D470" s="36" t="s">
        <v>21</v>
      </c>
      <c r="E470" s="36" t="s">
        <v>197</v>
      </c>
      <c r="F470" s="36">
        <v>34</v>
      </c>
      <c r="G470" s="36">
        <v>32</v>
      </c>
      <c r="H470" s="36"/>
      <c r="I470" s="36"/>
      <c r="J470" s="36">
        <v>107</v>
      </c>
      <c r="K470" s="36">
        <v>101</v>
      </c>
      <c r="L470" s="36"/>
      <c r="M470" s="36"/>
      <c r="N470" s="36">
        <v>21</v>
      </c>
      <c r="O470" s="36">
        <v>7</v>
      </c>
      <c r="P470" s="36">
        <v>9</v>
      </c>
      <c r="Q470" s="36" t="s">
        <v>181</v>
      </c>
      <c r="R470" s="36" t="s">
        <v>466</v>
      </c>
      <c r="S470" s="36" t="s">
        <v>250</v>
      </c>
      <c r="T470" s="36" t="s">
        <v>467</v>
      </c>
      <c r="U470" s="3" t="s">
        <v>191</v>
      </c>
      <c r="V470" s="3" t="s">
        <v>192</v>
      </c>
      <c r="W470" s="3"/>
      <c r="X470" s="3"/>
      <c r="Y470" s="36" t="str">
        <f>HYPERLINK("http://www.stromypodkontrolou.cz/map/?draw_selection_circle=1#%7B%22lat%22%3A%2049.6779777691067%2C%20%22lng%22%3A%2018.6459318173561%2C%20%22zoom%22%3A%2020%7D")</f>
        <v>http://www.stromypodkontrolou.cz/map/?draw_selection_circle=1#%7B%22lat%22%3A%2049.6779777691067%2C%20%22lng%22%3A%2018.6459318173561%2C%20%22zoom%22%3A%2020%7D</v>
      </c>
    </row>
    <row r="471" spans="1:25" ht="12.7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" t="s">
        <v>171</v>
      </c>
      <c r="V471" s="3" t="s">
        <v>172</v>
      </c>
      <c r="W471" s="3"/>
      <c r="X471" s="3"/>
      <c r="Y471" s="36"/>
    </row>
    <row r="472" spans="1:25" ht="12.75">
      <c r="A472" s="36" t="s">
        <v>26</v>
      </c>
      <c r="B472" s="36">
        <v>174</v>
      </c>
      <c r="C472" s="36"/>
      <c r="D472" s="36" t="s">
        <v>30</v>
      </c>
      <c r="E472" s="36" t="s">
        <v>211</v>
      </c>
      <c r="F472" s="36">
        <v>20</v>
      </c>
      <c r="G472" s="36"/>
      <c r="H472" s="36"/>
      <c r="I472" s="36"/>
      <c r="J472" s="36">
        <v>63</v>
      </c>
      <c r="K472" s="36"/>
      <c r="L472" s="36"/>
      <c r="M472" s="36"/>
      <c r="N472" s="36">
        <v>12</v>
      </c>
      <c r="O472" s="36">
        <v>1</v>
      </c>
      <c r="P472" s="36">
        <v>3</v>
      </c>
      <c r="Q472" s="36" t="s">
        <v>179</v>
      </c>
      <c r="R472" s="36" t="s">
        <v>196</v>
      </c>
      <c r="S472" s="36" t="s">
        <v>189</v>
      </c>
      <c r="T472" s="36" t="s">
        <v>206</v>
      </c>
      <c r="U472" s="3" t="s">
        <v>171</v>
      </c>
      <c r="V472" s="3" t="s">
        <v>172</v>
      </c>
      <c r="W472" s="3"/>
      <c r="X472" s="3"/>
      <c r="Y472" s="36" t="str">
        <f>HYPERLINK("http://www.stromypodkontrolou.cz/map/?draw_selection_circle=1#%7B%22lat%22%3A%2049.6656789778%2C%20%22lng%22%3A%2018.6747704417%2C%20%22zoom%22%3A%2020%7D")</f>
        <v>http://www.stromypodkontrolou.cz/map/?draw_selection_circle=1#%7B%22lat%22%3A%2049.6656789778%2C%20%22lng%22%3A%2018.6747704417%2C%20%22zoom%22%3A%2020%7D</v>
      </c>
    </row>
    <row r="473" spans="1:25" ht="12.7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" t="s">
        <v>169</v>
      </c>
      <c r="V473" s="3" t="s">
        <v>170</v>
      </c>
      <c r="W473" s="3"/>
      <c r="X473" s="3"/>
      <c r="Y473" s="36"/>
    </row>
    <row r="474" spans="1:25" ht="12.75">
      <c r="A474" s="36" t="s">
        <v>26</v>
      </c>
      <c r="B474" s="36">
        <v>169</v>
      </c>
      <c r="C474" s="36"/>
      <c r="D474" s="36" t="s">
        <v>134</v>
      </c>
      <c r="E474" s="36" t="s">
        <v>468</v>
      </c>
      <c r="F474" s="36">
        <v>10</v>
      </c>
      <c r="G474" s="36">
        <v>8</v>
      </c>
      <c r="H474" s="36">
        <v>7</v>
      </c>
      <c r="I474" s="36">
        <v>5</v>
      </c>
      <c r="J474" s="36">
        <v>31</v>
      </c>
      <c r="K474" s="36">
        <v>25</v>
      </c>
      <c r="L474" s="36">
        <v>22</v>
      </c>
      <c r="M474" s="36">
        <v>16</v>
      </c>
      <c r="N474" s="36">
        <v>6</v>
      </c>
      <c r="O474" s="36">
        <v>0</v>
      </c>
      <c r="P474" s="36">
        <v>3</v>
      </c>
      <c r="Q474" s="36" t="s">
        <v>166</v>
      </c>
      <c r="R474" s="36" t="s">
        <v>196</v>
      </c>
      <c r="S474" s="36" t="s">
        <v>189</v>
      </c>
      <c r="T474" s="36" t="s">
        <v>206</v>
      </c>
      <c r="U474" s="3" t="s">
        <v>169</v>
      </c>
      <c r="V474" s="3" t="s">
        <v>170</v>
      </c>
      <c r="W474" s="3"/>
      <c r="X474" s="3"/>
      <c r="Y474" s="36" t="str">
        <f>HYPERLINK("http://www.stromypodkontrolou.cz/map/?draw_selection_circle=1#%7B%22lat%22%3A%2049.6656514690302%2C%20%22lng%22%3A%2018.6749063782785%2C%20%22zoom%22%3A%2020%7D")</f>
        <v>http://www.stromypodkontrolou.cz/map/?draw_selection_circle=1#%7B%22lat%22%3A%2049.6656514690302%2C%20%22lng%22%3A%2018.6749063782785%2C%20%22zoom%22%3A%2020%7D</v>
      </c>
    </row>
    <row r="475" spans="1:25" ht="12.7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" t="s">
        <v>171</v>
      </c>
      <c r="V475" s="3" t="s">
        <v>172</v>
      </c>
      <c r="W475" s="3"/>
      <c r="X475" s="3"/>
      <c r="Y475" s="36"/>
    </row>
    <row r="476" spans="1:25" ht="12.75">
      <c r="A476" s="36" t="s">
        <v>26</v>
      </c>
      <c r="B476" s="36">
        <v>243</v>
      </c>
      <c r="C476" s="36"/>
      <c r="D476" s="36" t="s">
        <v>27</v>
      </c>
      <c r="E476" s="36" t="s">
        <v>204</v>
      </c>
      <c r="F476" s="36">
        <v>26</v>
      </c>
      <c r="G476" s="36"/>
      <c r="H476" s="36"/>
      <c r="I476" s="36"/>
      <c r="J476" s="36">
        <v>82</v>
      </c>
      <c r="K476" s="36"/>
      <c r="L476" s="36"/>
      <c r="M476" s="36"/>
      <c r="N476" s="36">
        <v>10</v>
      </c>
      <c r="O476" s="36">
        <v>1</v>
      </c>
      <c r="P476" s="36">
        <v>4</v>
      </c>
      <c r="Q476" s="36" t="s">
        <v>166</v>
      </c>
      <c r="R476" s="36" t="s">
        <v>469</v>
      </c>
      <c r="S476" s="36" t="s">
        <v>189</v>
      </c>
      <c r="T476" s="36" t="s">
        <v>206</v>
      </c>
      <c r="U476" s="3" t="s">
        <v>169</v>
      </c>
      <c r="V476" s="3" t="s">
        <v>170</v>
      </c>
      <c r="W476" s="3"/>
      <c r="X476" s="3"/>
      <c r="Y476" s="36" t="str">
        <f>HYPERLINK("http://www.stromypodkontrolou.cz/map/?draw_selection_circle=1#%7B%22lat%22%3A%2049.6642812155268%2C%20%22lng%22%3A%2018.6737999652603%2C%20%22zoom%22%3A%2020%7D")</f>
        <v>http://www.stromypodkontrolou.cz/map/?draw_selection_circle=1#%7B%22lat%22%3A%2049.6642812155268%2C%20%22lng%22%3A%2018.6737999652603%2C%20%22zoom%22%3A%2020%7D</v>
      </c>
    </row>
    <row r="477" spans="1:25" ht="12.7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" t="s">
        <v>171</v>
      </c>
      <c r="V477" s="3" t="s">
        <v>172</v>
      </c>
      <c r="W477" s="3"/>
      <c r="X477" s="3"/>
      <c r="Y477" s="36"/>
    </row>
    <row r="478" spans="1:25" ht="12.75">
      <c r="A478" s="3" t="s">
        <v>25</v>
      </c>
      <c r="B478" s="3">
        <v>85</v>
      </c>
      <c r="C478" s="3"/>
      <c r="D478" s="3" t="s">
        <v>91</v>
      </c>
      <c r="E478" s="3" t="s">
        <v>323</v>
      </c>
      <c r="F478" s="3">
        <v>24</v>
      </c>
      <c r="G478" s="3"/>
      <c r="H478" s="3"/>
      <c r="I478" s="3"/>
      <c r="J478" s="3">
        <v>75</v>
      </c>
      <c r="K478" s="3"/>
      <c r="L478" s="3"/>
      <c r="M478" s="3"/>
      <c r="N478" s="3">
        <v>12</v>
      </c>
      <c r="O478" s="3">
        <v>2</v>
      </c>
      <c r="P478" s="3">
        <v>8</v>
      </c>
      <c r="Q478" s="3" t="s">
        <v>166</v>
      </c>
      <c r="R478" s="3" t="s">
        <v>470</v>
      </c>
      <c r="S478" s="3" t="s">
        <v>189</v>
      </c>
      <c r="T478" s="3" t="s">
        <v>203</v>
      </c>
      <c r="U478" s="3" t="s">
        <v>169</v>
      </c>
      <c r="V478" s="3" t="s">
        <v>170</v>
      </c>
      <c r="W478" s="3"/>
      <c r="X478" s="3"/>
      <c r="Y478" s="3" t="str">
        <f>HYPERLINK("http://www.stromypodkontrolou.cz/map/?draw_selection_circle=1#%7B%22lat%22%3A%2049.664148010462%2C%20%22lng%22%3A%2018.6724726162728%2C%20%22zoom%22%3A%2020%7D")</f>
        <v>http://www.stromypodkontrolou.cz/map/?draw_selection_circle=1#%7B%22lat%22%3A%2049.664148010462%2C%20%22lng%22%3A%2018.6724726162728%2C%20%22zoom%22%3A%2020%7D</v>
      </c>
    </row>
    <row r="479" spans="1:25" ht="12.75">
      <c r="A479" s="3" t="s">
        <v>50</v>
      </c>
      <c r="B479" s="3">
        <v>3</v>
      </c>
      <c r="C479" s="3"/>
      <c r="D479" s="3" t="s">
        <v>23</v>
      </c>
      <c r="E479" s="3" t="s">
        <v>198</v>
      </c>
      <c r="F479" s="3">
        <v>34</v>
      </c>
      <c r="G479" s="3"/>
      <c r="H479" s="3"/>
      <c r="I479" s="3"/>
      <c r="J479" s="3">
        <v>107</v>
      </c>
      <c r="K479" s="3"/>
      <c r="L479" s="3"/>
      <c r="M479" s="3"/>
      <c r="N479" s="3">
        <v>27</v>
      </c>
      <c r="O479" s="3">
        <v>15</v>
      </c>
      <c r="P479" s="3">
        <v>4</v>
      </c>
      <c r="Q479" s="3" t="s">
        <v>181</v>
      </c>
      <c r="R479" s="3" t="s">
        <v>360</v>
      </c>
      <c r="S479" s="3" t="s">
        <v>189</v>
      </c>
      <c r="T479" s="3" t="s">
        <v>286</v>
      </c>
      <c r="U479" s="3" t="s">
        <v>218</v>
      </c>
      <c r="V479" s="3" t="s">
        <v>219</v>
      </c>
      <c r="W479" s="3"/>
      <c r="X479" s="3"/>
      <c r="Y479" s="3" t="str">
        <f>HYPERLINK("http://www.stromypodkontrolou.cz/map/?draw_selection_circle=1#%7B%22lat%22%3A%2049.664571700682%2C%20%22lng%22%3A%2018.6829843705583%2C%20%22zoom%22%3A%2020%7D")</f>
        <v>http://www.stromypodkontrolou.cz/map/?draw_selection_circle=1#%7B%22lat%22%3A%2049.664571700682%2C%20%22lng%22%3A%2018.6829843705583%2C%20%22zoom%22%3A%2020%7D</v>
      </c>
    </row>
    <row r="480" spans="1:25" ht="12.75">
      <c r="A480" s="3" t="s">
        <v>135</v>
      </c>
      <c r="B480" s="3">
        <v>7</v>
      </c>
      <c r="C480" s="3"/>
      <c r="D480" s="3" t="s">
        <v>136</v>
      </c>
      <c r="E480" s="3" t="s">
        <v>471</v>
      </c>
      <c r="F480" s="3">
        <v>42</v>
      </c>
      <c r="G480" s="3">
        <v>41</v>
      </c>
      <c r="H480" s="3">
        <v>40</v>
      </c>
      <c r="I480" s="3">
        <v>32</v>
      </c>
      <c r="J480" s="3">
        <v>132</v>
      </c>
      <c r="K480" s="3">
        <v>129</v>
      </c>
      <c r="L480" s="3">
        <v>126</v>
      </c>
      <c r="M480" s="3">
        <v>101</v>
      </c>
      <c r="N480" s="3">
        <v>21</v>
      </c>
      <c r="O480" s="3">
        <v>3</v>
      </c>
      <c r="P480" s="3">
        <v>9</v>
      </c>
      <c r="Q480" s="3" t="s">
        <v>166</v>
      </c>
      <c r="R480" s="3"/>
      <c r="S480" s="3" t="s">
        <v>189</v>
      </c>
      <c r="T480" s="3" t="s">
        <v>472</v>
      </c>
      <c r="U480" s="3" t="s">
        <v>191</v>
      </c>
      <c r="V480" s="3" t="s">
        <v>192</v>
      </c>
      <c r="W480" s="3"/>
      <c r="X480" s="3"/>
      <c r="Y480" s="3" t="str">
        <f>HYPERLINK("http://www.stromypodkontrolou.cz/map/?draw_selection_circle=1#%7B%22lat%22%3A%2049.6628368601%2C%20%22lng%22%3A%2018.6849055007%2C%20%22zoom%22%3A%2020%7D")</f>
        <v>http://www.stromypodkontrolou.cz/map/?draw_selection_circle=1#%7B%22lat%22%3A%2049.6628368601%2C%20%22lng%22%3A%2018.6849055007%2C%20%22zoom%22%3A%2020%7D</v>
      </c>
    </row>
    <row r="481" spans="1:25" ht="12.75">
      <c r="A481" s="3" t="s">
        <v>135</v>
      </c>
      <c r="B481" s="3">
        <v>4</v>
      </c>
      <c r="C481" s="3"/>
      <c r="D481" s="3" t="s">
        <v>11</v>
      </c>
      <c r="E481" s="3" t="s">
        <v>173</v>
      </c>
      <c r="F481" s="3">
        <v>23</v>
      </c>
      <c r="G481" s="3"/>
      <c r="H481" s="3"/>
      <c r="I481" s="3"/>
      <c r="J481" s="3">
        <v>72</v>
      </c>
      <c r="K481" s="3"/>
      <c r="L481" s="3"/>
      <c r="M481" s="3"/>
      <c r="N481" s="3">
        <v>13</v>
      </c>
      <c r="O481" s="3">
        <v>1</v>
      </c>
      <c r="P481" s="3">
        <v>4</v>
      </c>
      <c r="Q481" s="3" t="s">
        <v>166</v>
      </c>
      <c r="R481" s="3" t="s">
        <v>196</v>
      </c>
      <c r="S481" s="3" t="s">
        <v>189</v>
      </c>
      <c r="T481" s="3" t="s">
        <v>275</v>
      </c>
      <c r="U481" s="3" t="s">
        <v>169</v>
      </c>
      <c r="V481" s="3" t="s">
        <v>170</v>
      </c>
      <c r="W481" s="3"/>
      <c r="X481" s="3"/>
      <c r="Y481" s="3" t="str">
        <f>HYPERLINK("http://www.stromypodkontrolou.cz/map/?draw_selection_circle=1#%7B%22lat%22%3A%2049.6628825345755%2C%20%22lng%22%3A%2018.6849054017503%2C%20%22zoom%22%3A%2020%7D")</f>
        <v>http://www.stromypodkontrolou.cz/map/?draw_selection_circle=1#%7B%22lat%22%3A%2049.6628825345755%2C%20%22lng%22%3A%2018.6849054017503%2C%20%22zoom%22%3A%2020%7D</v>
      </c>
    </row>
    <row r="482" spans="1:25" ht="12.75">
      <c r="A482" s="3" t="s">
        <v>135</v>
      </c>
      <c r="B482" s="3">
        <v>6</v>
      </c>
      <c r="C482" s="3"/>
      <c r="D482" s="3" t="s">
        <v>21</v>
      </c>
      <c r="E482" s="3" t="s">
        <v>197</v>
      </c>
      <c r="F482" s="3">
        <v>18</v>
      </c>
      <c r="G482" s="3"/>
      <c r="H482" s="3"/>
      <c r="I482" s="3"/>
      <c r="J482" s="3">
        <v>57</v>
      </c>
      <c r="K482" s="3"/>
      <c r="L482" s="3"/>
      <c r="M482" s="3"/>
      <c r="N482" s="3">
        <v>14</v>
      </c>
      <c r="O482" s="3">
        <v>7</v>
      </c>
      <c r="P482" s="3">
        <v>3</v>
      </c>
      <c r="Q482" s="3" t="s">
        <v>181</v>
      </c>
      <c r="R482" s="3" t="s">
        <v>473</v>
      </c>
      <c r="S482" s="3" t="s">
        <v>189</v>
      </c>
      <c r="T482" s="3" t="s">
        <v>472</v>
      </c>
      <c r="U482" s="3" t="s">
        <v>169</v>
      </c>
      <c r="V482" s="3" t="s">
        <v>170</v>
      </c>
      <c r="W482" s="3"/>
      <c r="X482" s="3"/>
      <c r="Y482" s="3" t="str">
        <f>HYPERLINK("http://www.stromypodkontrolou.cz/map/?draw_selection_circle=1#%7B%22lat%22%3A%2049.662854983355%2C%20%22lng%22%3A%2018.6849050745315%2C%20%22zoom%22%3A%2020%7D")</f>
        <v>http://www.stromypodkontrolou.cz/map/?draw_selection_circle=1#%7B%22lat%22%3A%2049.662854983355%2C%20%22lng%22%3A%2018.6849050745315%2C%20%22zoom%22%3A%2020%7D</v>
      </c>
    </row>
    <row r="483" spans="1:25" ht="12.75">
      <c r="A483" s="36" t="s">
        <v>137</v>
      </c>
      <c r="B483" s="36">
        <v>90</v>
      </c>
      <c r="C483" s="36"/>
      <c r="D483" s="36" t="s">
        <v>21</v>
      </c>
      <c r="E483" s="36" t="s">
        <v>197</v>
      </c>
      <c r="F483" s="36">
        <v>36</v>
      </c>
      <c r="G483" s="36"/>
      <c r="H483" s="36"/>
      <c r="I483" s="36"/>
      <c r="J483" s="36">
        <v>113</v>
      </c>
      <c r="K483" s="36"/>
      <c r="L483" s="36"/>
      <c r="M483" s="36"/>
      <c r="N483" s="36">
        <v>21</v>
      </c>
      <c r="O483" s="36">
        <v>11</v>
      </c>
      <c r="P483" s="36">
        <v>8</v>
      </c>
      <c r="Q483" s="36" t="s">
        <v>181</v>
      </c>
      <c r="R483" s="36" t="s">
        <v>474</v>
      </c>
      <c r="S483" s="36" t="s">
        <v>7</v>
      </c>
      <c r="T483" s="36" t="s">
        <v>475</v>
      </c>
      <c r="U483" s="3" t="s">
        <v>191</v>
      </c>
      <c r="V483" s="3" t="s">
        <v>192</v>
      </c>
      <c r="W483" s="3"/>
      <c r="X483" s="3"/>
      <c r="Y483" s="36" t="str">
        <f>HYPERLINK("http://www.stromypodkontrolou.cz/map/?draw_selection_circle=1#%7B%22lat%22%3A%2049.6847326709513%2C%20%22lng%22%3A%2018.6661977756441%2C%20%22zoom%22%3A%2020%7D")</f>
        <v>http://www.stromypodkontrolou.cz/map/?draw_selection_circle=1#%7B%22lat%22%3A%2049.6847326709513%2C%20%22lng%22%3A%2018.6661977756441%2C%20%22zoom%22%3A%2020%7D</v>
      </c>
    </row>
    <row r="484" spans="1:25" ht="12.7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" t="s">
        <v>171</v>
      </c>
      <c r="V484" s="3" t="s">
        <v>172</v>
      </c>
      <c r="W484" s="3"/>
      <c r="X484" s="3"/>
      <c r="Y484" s="36"/>
    </row>
    <row r="485" spans="1:25" ht="12.75">
      <c r="A485" s="36" t="s">
        <v>137</v>
      </c>
      <c r="B485" s="36">
        <v>91</v>
      </c>
      <c r="C485" s="36"/>
      <c r="D485" s="36" t="s">
        <v>21</v>
      </c>
      <c r="E485" s="36" t="s">
        <v>197</v>
      </c>
      <c r="F485" s="36">
        <v>32</v>
      </c>
      <c r="G485" s="36"/>
      <c r="H485" s="36"/>
      <c r="I485" s="36"/>
      <c r="J485" s="36">
        <v>101</v>
      </c>
      <c r="K485" s="36"/>
      <c r="L485" s="36"/>
      <c r="M485" s="36"/>
      <c r="N485" s="36">
        <v>20</v>
      </c>
      <c r="O485" s="36">
        <v>8</v>
      </c>
      <c r="P485" s="36">
        <v>9</v>
      </c>
      <c r="Q485" s="36" t="s">
        <v>181</v>
      </c>
      <c r="R485" s="36" t="s">
        <v>476</v>
      </c>
      <c r="S485" s="36" t="s">
        <v>7</v>
      </c>
      <c r="T485" s="36" t="s">
        <v>475</v>
      </c>
      <c r="U485" s="3" t="s">
        <v>191</v>
      </c>
      <c r="V485" s="3" t="s">
        <v>192</v>
      </c>
      <c r="W485" s="3"/>
      <c r="X485" s="3"/>
      <c r="Y485" s="36" t="str">
        <f>HYPERLINK("http://www.stromypodkontrolou.cz/map/?draw_selection_circle=1#%7B%22lat%22%3A%2049.684709245229%2C%20%22lng%22%3A%2018.6662522368473%2C%20%22zoom%22%3A%2020%7D")</f>
        <v>http://www.stromypodkontrolou.cz/map/?draw_selection_circle=1#%7B%22lat%22%3A%2049.684709245229%2C%20%22lng%22%3A%2018.6662522368473%2C%20%22zoom%22%3A%2020%7D</v>
      </c>
    </row>
    <row r="486" spans="1:25" ht="12.7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" t="s">
        <v>218</v>
      </c>
      <c r="V486" s="3" t="s">
        <v>219</v>
      </c>
      <c r="W486" s="3"/>
      <c r="X486" s="3"/>
      <c r="Y486" s="36"/>
    </row>
    <row r="487" spans="1:25" ht="12.75">
      <c r="A487" s="36" t="s">
        <v>137</v>
      </c>
      <c r="B487" s="36">
        <v>92</v>
      </c>
      <c r="C487" s="36"/>
      <c r="D487" s="36" t="s">
        <v>21</v>
      </c>
      <c r="E487" s="36" t="s">
        <v>197</v>
      </c>
      <c r="F487" s="36">
        <v>33</v>
      </c>
      <c r="G487" s="36"/>
      <c r="H487" s="36"/>
      <c r="I487" s="36"/>
      <c r="J487" s="36">
        <v>104</v>
      </c>
      <c r="K487" s="36"/>
      <c r="L487" s="36"/>
      <c r="M487" s="36"/>
      <c r="N487" s="36">
        <v>12</v>
      </c>
      <c r="O487" s="36">
        <v>7</v>
      </c>
      <c r="P487" s="36">
        <v>7</v>
      </c>
      <c r="Q487" s="36" t="s">
        <v>181</v>
      </c>
      <c r="R487" s="36" t="s">
        <v>477</v>
      </c>
      <c r="S487" s="36" t="s">
        <v>7</v>
      </c>
      <c r="T487" s="36" t="s">
        <v>475</v>
      </c>
      <c r="U487" s="3" t="s">
        <v>191</v>
      </c>
      <c r="V487" s="3" t="s">
        <v>192</v>
      </c>
      <c r="W487" s="3"/>
      <c r="X487" s="3"/>
      <c r="Y487" s="36" t="str">
        <f>HYPERLINK("http://www.stromypodkontrolou.cz/map/?draw_selection_circle=1#%7B%22lat%22%3A%2049.6846846327536%2C%20%22lng%22%3A%2018.6663068456182%2C%20%22zoom%22%3A%2020%7D")</f>
        <v>http://www.stromypodkontrolou.cz/map/?draw_selection_circle=1#%7B%22lat%22%3A%2049.6846846327536%2C%20%22lng%22%3A%2018.6663068456182%2C%20%22zoom%22%3A%2020%7D</v>
      </c>
    </row>
    <row r="488" spans="1:25" ht="12.7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" t="s">
        <v>171</v>
      </c>
      <c r="V488" s="3" t="s">
        <v>172</v>
      </c>
      <c r="W488" s="3"/>
      <c r="X488" s="3"/>
      <c r="Y488" s="36"/>
    </row>
    <row r="489" spans="1:25" ht="12.75">
      <c r="A489" s="3" t="s">
        <v>56</v>
      </c>
      <c r="B489" s="3">
        <v>105</v>
      </c>
      <c r="C489" s="3"/>
      <c r="D489" s="3" t="s">
        <v>14</v>
      </c>
      <c r="E489" s="3" t="s">
        <v>180</v>
      </c>
      <c r="F489" s="3">
        <v>61</v>
      </c>
      <c r="G489" s="3"/>
      <c r="H489" s="3"/>
      <c r="I489" s="3"/>
      <c r="J489" s="3">
        <v>192</v>
      </c>
      <c r="K489" s="3"/>
      <c r="L489" s="3"/>
      <c r="M489" s="3"/>
      <c r="N489" s="3">
        <v>24</v>
      </c>
      <c r="O489" s="3">
        <v>3</v>
      </c>
      <c r="P489" s="3">
        <v>14</v>
      </c>
      <c r="Q489" s="3" t="s">
        <v>301</v>
      </c>
      <c r="R489" s="3" t="s">
        <v>478</v>
      </c>
      <c r="S489" s="3" t="s">
        <v>7</v>
      </c>
      <c r="T489" s="3" t="s">
        <v>263</v>
      </c>
      <c r="U489" s="3" t="s">
        <v>218</v>
      </c>
      <c r="V489" s="3" t="s">
        <v>219</v>
      </c>
      <c r="W489" s="3"/>
      <c r="X489" s="3"/>
      <c r="Y489" s="3" t="str">
        <f>HYPERLINK("http://www.stromypodkontrolou.cz/map/?draw_selection_circle=1#%7B%22lat%22%3A%2049.6735775742341%2C%20%22lng%22%3A%2018.6693625910173%2C%20%22zoom%22%3A%2020%7D")</f>
        <v>http://www.stromypodkontrolou.cz/map/?draw_selection_circle=1#%7B%22lat%22%3A%2049.6735775742341%2C%20%22lng%22%3A%2018.6693625910173%2C%20%22zoom%22%3A%2020%7D</v>
      </c>
    </row>
    <row r="490" spans="1:25" ht="12.75">
      <c r="A490" s="3" t="s">
        <v>56</v>
      </c>
      <c r="B490" s="3">
        <v>108</v>
      </c>
      <c r="C490" s="3"/>
      <c r="D490" s="3" t="s">
        <v>10</v>
      </c>
      <c r="E490" s="3" t="s">
        <v>165</v>
      </c>
      <c r="F490" s="3">
        <v>39</v>
      </c>
      <c r="G490" s="3"/>
      <c r="H490" s="3"/>
      <c r="I490" s="3"/>
      <c r="J490" s="3">
        <v>123</v>
      </c>
      <c r="K490" s="3"/>
      <c r="L490" s="3"/>
      <c r="M490" s="3"/>
      <c r="N490" s="3">
        <v>15</v>
      </c>
      <c r="O490" s="3">
        <v>4</v>
      </c>
      <c r="P490" s="3">
        <v>8</v>
      </c>
      <c r="Q490" s="3" t="s">
        <v>181</v>
      </c>
      <c r="R490" s="3" t="s">
        <v>479</v>
      </c>
      <c r="S490" s="3" t="s">
        <v>7</v>
      </c>
      <c r="T490" s="3" t="s">
        <v>263</v>
      </c>
      <c r="U490" s="3" t="s">
        <v>218</v>
      </c>
      <c r="V490" s="3" t="s">
        <v>219</v>
      </c>
      <c r="W490" s="3"/>
      <c r="X490" s="3"/>
      <c r="Y490" s="3" t="str">
        <f>HYPERLINK("http://www.stromypodkontrolou.cz/map/?draw_selection_circle=1#%7B%22lat%22%3A%2049.6734602975101%2C%20%22lng%22%3A%2018.6693127514407%2C%20%22zoom%22%3A%2020%7D")</f>
        <v>http://www.stromypodkontrolou.cz/map/?draw_selection_circle=1#%7B%22lat%22%3A%2049.6734602975101%2C%20%22lng%22%3A%2018.6693127514407%2C%20%22zoom%22%3A%2020%7D</v>
      </c>
    </row>
    <row r="491" spans="1:25" ht="12.75">
      <c r="A491" s="3" t="s">
        <v>56</v>
      </c>
      <c r="B491" s="3">
        <v>141</v>
      </c>
      <c r="C491" s="3"/>
      <c r="D491" s="3" t="s">
        <v>23</v>
      </c>
      <c r="E491" s="3" t="s">
        <v>198</v>
      </c>
      <c r="F491" s="3">
        <v>42</v>
      </c>
      <c r="G491" s="3"/>
      <c r="H491" s="3"/>
      <c r="I491" s="3"/>
      <c r="J491" s="3">
        <v>132</v>
      </c>
      <c r="K491" s="3"/>
      <c r="L491" s="3"/>
      <c r="M491" s="3"/>
      <c r="N491" s="3">
        <v>21</v>
      </c>
      <c r="O491" s="3">
        <v>8</v>
      </c>
      <c r="P491" s="3">
        <v>9</v>
      </c>
      <c r="Q491" s="3" t="s">
        <v>301</v>
      </c>
      <c r="R491" s="3" t="s">
        <v>480</v>
      </c>
      <c r="S491" s="3" t="s">
        <v>7</v>
      </c>
      <c r="T491" s="3" t="s">
        <v>263</v>
      </c>
      <c r="U491" s="3" t="s">
        <v>224</v>
      </c>
      <c r="V491" s="3" t="s">
        <v>225</v>
      </c>
      <c r="W491" s="3"/>
      <c r="X491" s="3"/>
      <c r="Y491" s="3" t="str">
        <f>HYPERLINK("http://www.stromypodkontrolou.cz/map/?draw_selection_circle=1#%7B%22lat%22%3A%2049.6729442958815%2C%20%22lng%22%3A%2018.6693784110141%2C%20%22zoom%22%3A%2020%7D")</f>
        <v>http://www.stromypodkontrolou.cz/map/?draw_selection_circle=1#%7B%22lat%22%3A%2049.6729442958815%2C%20%22lng%22%3A%2018.6693784110141%2C%20%22zoom%22%3A%2020%7D</v>
      </c>
    </row>
    <row r="492" spans="1:25" ht="12.75">
      <c r="A492" s="3" t="s">
        <v>59</v>
      </c>
      <c r="B492" s="3">
        <v>14</v>
      </c>
      <c r="C492" s="3"/>
      <c r="D492" s="3" t="s">
        <v>11</v>
      </c>
      <c r="E492" s="3" t="s">
        <v>173</v>
      </c>
      <c r="F492" s="3">
        <v>53</v>
      </c>
      <c r="G492" s="3"/>
      <c r="H492" s="3"/>
      <c r="I492" s="3"/>
      <c r="J492" s="3">
        <v>166</v>
      </c>
      <c r="K492" s="3"/>
      <c r="L492" s="3"/>
      <c r="M492" s="3"/>
      <c r="N492" s="3">
        <v>23</v>
      </c>
      <c r="O492" s="3">
        <v>1</v>
      </c>
      <c r="P492" s="3">
        <v>10</v>
      </c>
      <c r="Q492" s="3" t="s">
        <v>181</v>
      </c>
      <c r="R492" s="3" t="s">
        <v>481</v>
      </c>
      <c r="S492" s="3" t="s">
        <v>7</v>
      </c>
      <c r="T492" s="3" t="s">
        <v>482</v>
      </c>
      <c r="U492" s="3" t="s">
        <v>191</v>
      </c>
      <c r="V492" s="3" t="s">
        <v>192</v>
      </c>
      <c r="W492" s="3"/>
      <c r="X492" s="3"/>
      <c r="Y492" s="3" t="str">
        <f>HYPERLINK("http://www.stromypodkontrolou.cz/map/?draw_selection_circle=1#%7B%22lat%22%3A%2049.6722150875%2C%20%22lng%22%3A%2018.6693989625%2C%20%22zoom%22%3A%2020%7D")</f>
        <v>http://www.stromypodkontrolou.cz/map/?draw_selection_circle=1#%7B%22lat%22%3A%2049.6722150875%2C%20%22lng%22%3A%2018.6693989625%2C%20%22zoom%22%3A%2020%7D</v>
      </c>
    </row>
    <row r="493" spans="1:25" ht="12.75">
      <c r="A493" s="36" t="s">
        <v>81</v>
      </c>
      <c r="B493" s="36">
        <v>122</v>
      </c>
      <c r="C493" s="36"/>
      <c r="D493" s="36" t="s">
        <v>21</v>
      </c>
      <c r="E493" s="36" t="s">
        <v>197</v>
      </c>
      <c r="F493" s="36">
        <v>36</v>
      </c>
      <c r="G493" s="36">
        <v>36</v>
      </c>
      <c r="H493" s="36"/>
      <c r="I493" s="36"/>
      <c r="J493" s="36">
        <v>113</v>
      </c>
      <c r="K493" s="36">
        <v>113</v>
      </c>
      <c r="L493" s="36"/>
      <c r="M493" s="36"/>
      <c r="N493" s="36">
        <v>18</v>
      </c>
      <c r="O493" s="36">
        <v>3</v>
      </c>
      <c r="P493" s="36">
        <v>9</v>
      </c>
      <c r="Q493" s="36" t="s">
        <v>181</v>
      </c>
      <c r="R493" s="36" t="s">
        <v>483</v>
      </c>
      <c r="S493" s="36" t="s">
        <v>189</v>
      </c>
      <c r="T493" s="36" t="s">
        <v>484</v>
      </c>
      <c r="U493" s="3" t="s">
        <v>218</v>
      </c>
      <c r="V493" s="3" t="s">
        <v>219</v>
      </c>
      <c r="W493" s="3"/>
      <c r="X493" s="3"/>
      <c r="Y493" s="36" t="str">
        <f>HYPERLINK("http://www.stromypodkontrolou.cz/map/?draw_selection_circle=1#%7B%22lat%22%3A%2049.666917464202%2C%20%22lng%22%3A%2018.6752825188588%2C%20%22zoom%22%3A%2020%7D")</f>
        <v>http://www.stromypodkontrolou.cz/map/?draw_selection_circle=1#%7B%22lat%22%3A%2049.666917464202%2C%20%22lng%22%3A%2018.6752825188588%2C%20%22zoom%22%3A%2020%7D</v>
      </c>
    </row>
    <row r="494" spans="1:25" ht="12.7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" t="s">
        <v>171</v>
      </c>
      <c r="V494" s="3" t="s">
        <v>172</v>
      </c>
      <c r="W494" s="3"/>
      <c r="X494" s="3"/>
      <c r="Y494" s="36"/>
    </row>
    <row r="495" spans="1:25" ht="12.75">
      <c r="A495" s="36" t="s">
        <v>81</v>
      </c>
      <c r="B495" s="36">
        <v>141</v>
      </c>
      <c r="C495" s="36"/>
      <c r="D495" s="36" t="s">
        <v>67</v>
      </c>
      <c r="E495" s="36" t="s">
        <v>284</v>
      </c>
      <c r="F495" s="36">
        <v>15</v>
      </c>
      <c r="G495" s="36"/>
      <c r="H495" s="36"/>
      <c r="I495" s="36"/>
      <c r="J495" s="36">
        <v>47</v>
      </c>
      <c r="K495" s="36"/>
      <c r="L495" s="36"/>
      <c r="M495" s="36"/>
      <c r="N495" s="36">
        <v>8</v>
      </c>
      <c r="O495" s="36">
        <v>1</v>
      </c>
      <c r="P495" s="36">
        <v>4</v>
      </c>
      <c r="Q495" s="36" t="s">
        <v>179</v>
      </c>
      <c r="R495" s="36" t="s">
        <v>377</v>
      </c>
      <c r="S495" s="36" t="s">
        <v>189</v>
      </c>
      <c r="T495" s="36" t="s">
        <v>406</v>
      </c>
      <c r="U495" s="3" t="s">
        <v>169</v>
      </c>
      <c r="V495" s="3" t="s">
        <v>170</v>
      </c>
      <c r="W495" s="3"/>
      <c r="X495" s="3"/>
      <c r="Y495" s="36" t="str">
        <f>HYPERLINK("http://www.stromypodkontrolou.cz/map/?draw_selection_circle=1#%7B%22lat%22%3A%2049.6677858503615%2C%20%22lng%22%3A%2018.6743755994633%2C%20%22zoom%22%3A%2020%7D")</f>
        <v>http://www.stromypodkontrolou.cz/map/?draw_selection_circle=1#%7B%22lat%22%3A%2049.6677858503615%2C%20%22lng%22%3A%2018.6743755994633%2C%20%22zoom%22%3A%2020%7D</v>
      </c>
    </row>
    <row r="496" spans="1:25" ht="12.7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" t="s">
        <v>171</v>
      </c>
      <c r="V496" s="3" t="s">
        <v>172</v>
      </c>
      <c r="W496" s="3"/>
      <c r="X496" s="3"/>
      <c r="Y496" s="36"/>
    </row>
    <row r="497" spans="1:25" ht="12.75">
      <c r="A497" s="36" t="s">
        <v>81</v>
      </c>
      <c r="B497" s="36">
        <v>143</v>
      </c>
      <c r="C497" s="36"/>
      <c r="D497" s="36" t="s">
        <v>21</v>
      </c>
      <c r="E497" s="36" t="s">
        <v>197</v>
      </c>
      <c r="F497" s="36">
        <v>40</v>
      </c>
      <c r="G497" s="36"/>
      <c r="H497" s="36"/>
      <c r="I497" s="36"/>
      <c r="J497" s="36">
        <v>126</v>
      </c>
      <c r="K497" s="36"/>
      <c r="L497" s="36"/>
      <c r="M497" s="36"/>
      <c r="N497" s="36">
        <v>17</v>
      </c>
      <c r="O497" s="36">
        <v>2</v>
      </c>
      <c r="P497" s="36">
        <v>8</v>
      </c>
      <c r="Q497" s="36" t="s">
        <v>181</v>
      </c>
      <c r="R497" s="36" t="s">
        <v>485</v>
      </c>
      <c r="S497" s="36" t="s">
        <v>189</v>
      </c>
      <c r="T497" s="36" t="s">
        <v>406</v>
      </c>
      <c r="U497" s="3" t="s">
        <v>218</v>
      </c>
      <c r="V497" s="3" t="s">
        <v>219</v>
      </c>
      <c r="W497" s="3"/>
      <c r="X497" s="3"/>
      <c r="Y497" s="36" t="str">
        <f>HYPERLINK("http://www.stromypodkontrolou.cz/map/?draw_selection_circle=1#%7B%22lat%22%3A%2049.667840417462%2C%20%22lng%22%3A%2018.6743070747337%2C%20%22zoom%22%3A%2020%7D")</f>
        <v>http://www.stromypodkontrolou.cz/map/?draw_selection_circle=1#%7B%22lat%22%3A%2049.667840417462%2C%20%22lng%22%3A%2018.6743070747337%2C%20%22zoom%22%3A%2020%7D</v>
      </c>
    </row>
    <row r="498" spans="1:25" ht="12.7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" t="s">
        <v>171</v>
      </c>
      <c r="V498" s="3" t="s">
        <v>172</v>
      </c>
      <c r="W498" s="3"/>
      <c r="X498" s="3"/>
      <c r="Y498" s="36"/>
    </row>
    <row r="499" spans="1:25" ht="12.75">
      <c r="A499" s="36" t="s">
        <v>81</v>
      </c>
      <c r="B499" s="36">
        <v>176</v>
      </c>
      <c r="C499" s="36"/>
      <c r="D499" s="36" t="s">
        <v>21</v>
      </c>
      <c r="E499" s="36" t="s">
        <v>197</v>
      </c>
      <c r="F499" s="36">
        <v>26</v>
      </c>
      <c r="G499" s="36"/>
      <c r="H499" s="36"/>
      <c r="I499" s="36"/>
      <c r="J499" s="36">
        <v>82</v>
      </c>
      <c r="K499" s="36"/>
      <c r="L499" s="36"/>
      <c r="M499" s="36"/>
      <c r="N499" s="36">
        <v>19</v>
      </c>
      <c r="O499" s="36">
        <v>3</v>
      </c>
      <c r="P499" s="36">
        <v>4</v>
      </c>
      <c r="Q499" s="36" t="s">
        <v>166</v>
      </c>
      <c r="R499" s="36" t="s">
        <v>486</v>
      </c>
      <c r="S499" s="36" t="s">
        <v>189</v>
      </c>
      <c r="T499" s="36" t="s">
        <v>406</v>
      </c>
      <c r="U499" s="3" t="s">
        <v>171</v>
      </c>
      <c r="V499" s="3" t="s">
        <v>172</v>
      </c>
      <c r="W499" s="3"/>
      <c r="X499" s="3"/>
      <c r="Y499" s="36" t="str">
        <f>HYPERLINK("http://www.stromypodkontrolou.cz/map/?draw_selection_circle=1#%7B%22lat%22%3A%2049.6676007651754%2C%20%22lng%22%3A%2018.6737902681279%2C%20%22zoom%22%3A%2020%7D")</f>
        <v>http://www.stromypodkontrolou.cz/map/?draw_selection_circle=1#%7B%22lat%22%3A%2049.6676007651754%2C%20%22lng%22%3A%2018.6737902681279%2C%20%22zoom%22%3A%2020%7D</v>
      </c>
    </row>
    <row r="500" spans="1:25" ht="12.7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" t="s">
        <v>191</v>
      </c>
      <c r="V500" s="3" t="s">
        <v>192</v>
      </c>
      <c r="W500" s="3"/>
      <c r="X500" s="3"/>
      <c r="Y500" s="36"/>
    </row>
    <row r="501" spans="1:25" ht="12.75">
      <c r="A501" s="36" t="s">
        <v>81</v>
      </c>
      <c r="B501" s="36">
        <v>181</v>
      </c>
      <c r="C501" s="36"/>
      <c r="D501" s="36" t="s">
        <v>108</v>
      </c>
      <c r="E501" s="36" t="s">
        <v>351</v>
      </c>
      <c r="F501" s="36">
        <v>15</v>
      </c>
      <c r="G501" s="36"/>
      <c r="H501" s="36"/>
      <c r="I501" s="36"/>
      <c r="J501" s="36">
        <v>47</v>
      </c>
      <c r="K501" s="36"/>
      <c r="L501" s="36"/>
      <c r="M501" s="36"/>
      <c r="N501" s="36">
        <v>8</v>
      </c>
      <c r="O501" s="36">
        <v>3</v>
      </c>
      <c r="P501" s="36">
        <v>4</v>
      </c>
      <c r="Q501" s="36" t="s">
        <v>181</v>
      </c>
      <c r="R501" s="36" t="s">
        <v>487</v>
      </c>
      <c r="S501" s="36" t="s">
        <v>189</v>
      </c>
      <c r="T501" s="36" t="s">
        <v>406</v>
      </c>
      <c r="U501" s="3" t="s">
        <v>169</v>
      </c>
      <c r="V501" s="3" t="s">
        <v>170</v>
      </c>
      <c r="W501" s="3"/>
      <c r="X501" s="3"/>
      <c r="Y501" s="36" t="str">
        <f>HYPERLINK("http://www.stromypodkontrolou.cz/map/?draw_selection_circle=1#%7B%22lat%22%3A%2049.6674058607905%2C%20%22lng%22%3A%2018.6733525615612%2C%20%22zoom%22%3A%2020%7D")</f>
        <v>http://www.stromypodkontrolou.cz/map/?draw_selection_circle=1#%7B%22lat%22%3A%2049.6674058607905%2C%20%22lng%22%3A%2018.6733525615612%2C%20%22zoom%22%3A%2020%7D</v>
      </c>
    </row>
    <row r="502" spans="1:25" ht="12.7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" t="s">
        <v>171</v>
      </c>
      <c r="V502" s="3" t="s">
        <v>172</v>
      </c>
      <c r="W502" s="3"/>
      <c r="X502" s="3"/>
      <c r="Y502" s="36"/>
    </row>
    <row r="503" spans="1:25" ht="12.75">
      <c r="A503" s="36" t="s">
        <v>81</v>
      </c>
      <c r="B503" s="36">
        <v>179</v>
      </c>
      <c r="C503" s="36"/>
      <c r="D503" s="36" t="s">
        <v>21</v>
      </c>
      <c r="E503" s="36" t="s">
        <v>197</v>
      </c>
      <c r="F503" s="36">
        <v>29</v>
      </c>
      <c r="G503" s="36"/>
      <c r="H503" s="36"/>
      <c r="I503" s="36"/>
      <c r="J503" s="36">
        <v>91</v>
      </c>
      <c r="K503" s="36"/>
      <c r="L503" s="36"/>
      <c r="M503" s="36"/>
      <c r="N503" s="36">
        <v>16</v>
      </c>
      <c r="O503" s="36">
        <v>3</v>
      </c>
      <c r="P503" s="36">
        <v>6</v>
      </c>
      <c r="Q503" s="36" t="s">
        <v>181</v>
      </c>
      <c r="R503" s="36" t="s">
        <v>488</v>
      </c>
      <c r="S503" s="36" t="s">
        <v>189</v>
      </c>
      <c r="T503" s="36" t="s">
        <v>406</v>
      </c>
      <c r="U503" s="3" t="s">
        <v>171</v>
      </c>
      <c r="V503" s="3" t="s">
        <v>172</v>
      </c>
      <c r="W503" s="3"/>
      <c r="X503" s="3"/>
      <c r="Y503" s="36" t="str">
        <f>HYPERLINK("http://www.stromypodkontrolou.cz/map/?draw_selection_circle=1#%7B%22lat%22%3A%2049.6675278795307%2C%20%22lng%22%3A%2018.6736300131583%2C%20%22zoom%22%3A%2020%7D")</f>
        <v>http://www.stromypodkontrolou.cz/map/?draw_selection_circle=1#%7B%22lat%22%3A%2049.6675278795307%2C%20%22lng%22%3A%2018.6736300131583%2C%20%22zoom%22%3A%2020%7D</v>
      </c>
    </row>
    <row r="504" spans="1:25" ht="12.7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" t="s">
        <v>218</v>
      </c>
      <c r="V504" s="3" t="s">
        <v>219</v>
      </c>
      <c r="W504" s="3"/>
      <c r="X504" s="3"/>
      <c r="Y504" s="36"/>
    </row>
    <row r="505" spans="1:25" ht="12.75">
      <c r="A505" s="36" t="s">
        <v>81</v>
      </c>
      <c r="B505" s="36">
        <v>171</v>
      </c>
      <c r="C505" s="36"/>
      <c r="D505" s="36" t="s">
        <v>138</v>
      </c>
      <c r="E505" s="36" t="s">
        <v>489</v>
      </c>
      <c r="F505" s="36">
        <v>28</v>
      </c>
      <c r="G505" s="36"/>
      <c r="H505" s="36"/>
      <c r="I505" s="36"/>
      <c r="J505" s="36">
        <v>88</v>
      </c>
      <c r="K505" s="36"/>
      <c r="L505" s="36"/>
      <c r="M505" s="36"/>
      <c r="N505" s="36">
        <v>21</v>
      </c>
      <c r="O505" s="36">
        <v>2</v>
      </c>
      <c r="P505" s="36">
        <v>6</v>
      </c>
      <c r="Q505" s="36" t="s">
        <v>181</v>
      </c>
      <c r="R505" s="36" t="s">
        <v>490</v>
      </c>
      <c r="S505" s="36" t="s">
        <v>189</v>
      </c>
      <c r="T505" s="36" t="s">
        <v>406</v>
      </c>
      <c r="U505" s="3" t="s">
        <v>171</v>
      </c>
      <c r="V505" s="3" t="s">
        <v>172</v>
      </c>
      <c r="W505" s="3"/>
      <c r="X505" s="3"/>
      <c r="Y505" s="36" t="str">
        <f>HYPERLINK("http://www.stromypodkontrolou.cz/map/?draw_selection_circle=1#%7B%22lat%22%3A%2049.6675455829862%2C%20%22lng%22%3A%2018.6737400728048%2C%20%22zoom%22%3A%2020%7D")</f>
        <v>http://www.stromypodkontrolou.cz/map/?draw_selection_circle=1#%7B%22lat%22%3A%2049.6675455829862%2C%20%22lng%22%3A%2018.6737400728048%2C%20%22zoom%22%3A%2020%7D</v>
      </c>
    </row>
    <row r="506" spans="1:25" ht="12.7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" t="s">
        <v>191</v>
      </c>
      <c r="V506" s="3" t="s">
        <v>192</v>
      </c>
      <c r="W506" s="3"/>
      <c r="X506" s="3"/>
      <c r="Y506" s="36"/>
    </row>
    <row r="507" spans="1:25" ht="12.75">
      <c r="A507" s="36" t="s">
        <v>139</v>
      </c>
      <c r="B507" s="36">
        <v>52</v>
      </c>
      <c r="C507" s="36"/>
      <c r="D507" s="36" t="s">
        <v>21</v>
      </c>
      <c r="E507" s="36" t="s">
        <v>197</v>
      </c>
      <c r="F507" s="36">
        <v>43</v>
      </c>
      <c r="G507" s="36"/>
      <c r="H507" s="36"/>
      <c r="I507" s="36"/>
      <c r="J507" s="36">
        <v>135</v>
      </c>
      <c r="K507" s="36"/>
      <c r="L507" s="36"/>
      <c r="M507" s="36"/>
      <c r="N507" s="36">
        <v>18</v>
      </c>
      <c r="O507" s="36">
        <v>2</v>
      </c>
      <c r="P507" s="36">
        <v>12</v>
      </c>
      <c r="Q507" s="36" t="s">
        <v>181</v>
      </c>
      <c r="R507" s="36" t="s">
        <v>491</v>
      </c>
      <c r="S507" s="36" t="s">
        <v>189</v>
      </c>
      <c r="T507" s="36" t="s">
        <v>492</v>
      </c>
      <c r="U507" s="3" t="s">
        <v>218</v>
      </c>
      <c r="V507" s="3" t="s">
        <v>219</v>
      </c>
      <c r="W507" s="3"/>
      <c r="X507" s="3"/>
      <c r="Y507" s="36" t="str">
        <f>HYPERLINK("http://www.stromypodkontrolou.cz/map/?draw_selection_circle=1#%7B%22lat%22%3A%2049.6658491613036%2C%20%22lng%22%3A%2018.6758366536997%2C%20%22zoom%22%3A%2020%7D")</f>
        <v>http://www.stromypodkontrolou.cz/map/?draw_selection_circle=1#%7B%22lat%22%3A%2049.6658491613036%2C%20%22lng%22%3A%2018.6758366536997%2C%20%22zoom%22%3A%2020%7D</v>
      </c>
    </row>
    <row r="508" spans="1:25" ht="12.7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" t="s">
        <v>171</v>
      </c>
      <c r="V508" s="3" t="s">
        <v>172</v>
      </c>
      <c r="W508" s="3"/>
      <c r="X508" s="3"/>
      <c r="Y508" s="36"/>
    </row>
    <row r="509" spans="1:25" ht="12.75">
      <c r="A509" s="36" t="s">
        <v>140</v>
      </c>
      <c r="B509" s="36">
        <v>3</v>
      </c>
      <c r="C509" s="36"/>
      <c r="D509" s="36" t="s">
        <v>10</v>
      </c>
      <c r="E509" s="36" t="s">
        <v>165</v>
      </c>
      <c r="F509" s="36">
        <v>57</v>
      </c>
      <c r="G509" s="36"/>
      <c r="H509" s="36"/>
      <c r="I509" s="36"/>
      <c r="J509" s="36">
        <v>179</v>
      </c>
      <c r="K509" s="36"/>
      <c r="L509" s="36"/>
      <c r="M509" s="36"/>
      <c r="N509" s="36">
        <v>20</v>
      </c>
      <c r="O509" s="36">
        <v>3</v>
      </c>
      <c r="P509" s="36">
        <v>10</v>
      </c>
      <c r="Q509" s="36" t="s">
        <v>301</v>
      </c>
      <c r="R509" s="36" t="s">
        <v>493</v>
      </c>
      <c r="S509" s="36" t="s">
        <v>7</v>
      </c>
      <c r="T509" s="36" t="s">
        <v>494</v>
      </c>
      <c r="U509" s="3" t="s">
        <v>191</v>
      </c>
      <c r="V509" s="3" t="s">
        <v>192</v>
      </c>
      <c r="W509" s="3"/>
      <c r="X509" s="3"/>
      <c r="Y509" s="36" t="str">
        <f>HYPERLINK("http://www.stromypodkontrolou.cz/map/?draw_selection_circle=1#%7B%22lat%22%3A%2049.6748123270012%2C%20%22lng%22%3A%2018.672435174147%2C%20%22zoom%22%3A%2020%7D")</f>
        <v>http://www.stromypodkontrolou.cz/map/?draw_selection_circle=1#%7B%22lat%22%3A%2049.6748123270012%2C%20%22lng%22%3A%2018.672435174147%2C%20%22zoom%22%3A%2020%7D</v>
      </c>
    </row>
    <row r="510" spans="1:25" ht="12.7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" t="s">
        <v>171</v>
      </c>
      <c r="V510" s="3" t="s">
        <v>172</v>
      </c>
      <c r="W510" s="3"/>
      <c r="X510" s="3"/>
      <c r="Y510" s="36"/>
    </row>
    <row r="511" spans="1:25" ht="12.75">
      <c r="A511" s="36" t="s">
        <v>60</v>
      </c>
      <c r="B511" s="36">
        <v>87</v>
      </c>
      <c r="C511" s="36"/>
      <c r="D511" s="36" t="s">
        <v>24</v>
      </c>
      <c r="E511" s="36" t="s">
        <v>200</v>
      </c>
      <c r="F511" s="36">
        <v>47</v>
      </c>
      <c r="G511" s="36"/>
      <c r="H511" s="36"/>
      <c r="I511" s="36"/>
      <c r="J511" s="36">
        <v>148</v>
      </c>
      <c r="K511" s="36"/>
      <c r="L511" s="36"/>
      <c r="M511" s="36"/>
      <c r="N511" s="36">
        <v>19</v>
      </c>
      <c r="O511" s="36">
        <v>1</v>
      </c>
      <c r="P511" s="36">
        <v>9</v>
      </c>
      <c r="Q511" s="36" t="s">
        <v>181</v>
      </c>
      <c r="R511" s="36" t="s">
        <v>495</v>
      </c>
      <c r="S511" s="36" t="s">
        <v>189</v>
      </c>
      <c r="T511" s="36" t="s">
        <v>496</v>
      </c>
      <c r="U511" s="3" t="s">
        <v>191</v>
      </c>
      <c r="V511" s="3" t="s">
        <v>192</v>
      </c>
      <c r="W511" s="3"/>
      <c r="X511" s="3"/>
      <c r="Y511" s="36" t="str">
        <f>HYPERLINK("http://www.stromypodkontrolou.cz/map/?draw_selection_circle=1#%7B%22lat%22%3A%2049.6724322045268%2C%20%22lng%22%3A%2018.6767869722864%2C%20%22zoom%22%3A%2020%7D")</f>
        <v>http://www.stromypodkontrolou.cz/map/?draw_selection_circle=1#%7B%22lat%22%3A%2049.6724322045268%2C%20%22lng%22%3A%2018.6767869722864%2C%20%22zoom%22%3A%2020%7D</v>
      </c>
    </row>
    <row r="512" spans="1:25" ht="12.7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" t="s">
        <v>171</v>
      </c>
      <c r="V512" s="3" t="s">
        <v>172</v>
      </c>
      <c r="W512" s="3"/>
      <c r="X512" s="3"/>
      <c r="Y512" s="36"/>
    </row>
    <row r="513" spans="1:25" ht="12.75">
      <c r="A513" s="36" t="s">
        <v>60</v>
      </c>
      <c r="B513" s="36">
        <v>88</v>
      </c>
      <c r="C513" s="36"/>
      <c r="D513" s="36" t="s">
        <v>24</v>
      </c>
      <c r="E513" s="36" t="s">
        <v>200</v>
      </c>
      <c r="F513" s="36">
        <v>52</v>
      </c>
      <c r="G513" s="36"/>
      <c r="H513" s="36"/>
      <c r="I513" s="36"/>
      <c r="J513" s="36">
        <v>163</v>
      </c>
      <c r="K513" s="36"/>
      <c r="L513" s="36"/>
      <c r="M513" s="36"/>
      <c r="N513" s="36">
        <v>19</v>
      </c>
      <c r="O513" s="36">
        <v>7</v>
      </c>
      <c r="P513" s="36">
        <v>10</v>
      </c>
      <c r="Q513" s="36" t="s">
        <v>301</v>
      </c>
      <c r="R513" s="36" t="s">
        <v>497</v>
      </c>
      <c r="S513" s="36" t="s">
        <v>189</v>
      </c>
      <c r="T513" s="36" t="s">
        <v>496</v>
      </c>
      <c r="U513" s="3" t="s">
        <v>191</v>
      </c>
      <c r="V513" s="3" t="s">
        <v>192</v>
      </c>
      <c r="W513" s="3"/>
      <c r="X513" s="3"/>
      <c r="Y513" s="36" t="str">
        <f>HYPERLINK("http://www.stromypodkontrolou.cz/map/?draw_selection_circle=1#%7B%22lat%22%3A%2049.6723621135364%2C%20%22lng%22%3A%2018.676725736592%2C%20%22zoom%22%3A%2020%7D")</f>
        <v>http://www.stromypodkontrolou.cz/map/?draw_selection_circle=1#%7B%22lat%22%3A%2049.6723621135364%2C%20%22lng%22%3A%2018.676725736592%2C%20%22zoom%22%3A%2020%7D</v>
      </c>
    </row>
    <row r="514" spans="1:25" ht="12.7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" t="s">
        <v>171</v>
      </c>
      <c r="V514" s="3" t="s">
        <v>172</v>
      </c>
      <c r="W514" s="3"/>
      <c r="X514" s="3"/>
      <c r="Y514" s="36"/>
    </row>
    <row r="515" spans="1:25" ht="12.75">
      <c r="A515" s="36" t="s">
        <v>141</v>
      </c>
      <c r="B515" s="36">
        <v>1</v>
      </c>
      <c r="C515" s="36"/>
      <c r="D515" s="36" t="s">
        <v>11</v>
      </c>
      <c r="E515" s="36" t="s">
        <v>173</v>
      </c>
      <c r="F515" s="36">
        <v>47</v>
      </c>
      <c r="G515" s="36"/>
      <c r="H515" s="36"/>
      <c r="I515" s="36"/>
      <c r="J515" s="36">
        <v>148</v>
      </c>
      <c r="K515" s="36"/>
      <c r="L515" s="36"/>
      <c r="M515" s="36"/>
      <c r="N515" s="36">
        <v>18</v>
      </c>
      <c r="O515" s="36">
        <v>2</v>
      </c>
      <c r="P515" s="36">
        <v>8</v>
      </c>
      <c r="Q515" s="36" t="s">
        <v>166</v>
      </c>
      <c r="R515" s="36" t="s">
        <v>498</v>
      </c>
      <c r="S515" s="36" t="s">
        <v>7</v>
      </c>
      <c r="T515" s="36" t="s">
        <v>499</v>
      </c>
      <c r="U515" s="3" t="s">
        <v>171</v>
      </c>
      <c r="V515" s="3" t="s">
        <v>172</v>
      </c>
      <c r="W515" s="3"/>
      <c r="X515" s="3"/>
      <c r="Y515" s="36" t="str">
        <f>HYPERLINK("http://www.stromypodkontrolou.cz/map/?draw_selection_circle=1#%7B%22lat%22%3A%2049.6746368899376%2C%20%22lng%22%3A%2018.6726080008112%2C%20%22zoom%22%3A%2020%7D")</f>
        <v>http://www.stromypodkontrolou.cz/map/?draw_selection_circle=1#%7B%22lat%22%3A%2049.6746368899376%2C%20%22lng%22%3A%2018.6726080008112%2C%20%22zoom%22%3A%2020%7D</v>
      </c>
    </row>
    <row r="516" spans="1:25" ht="12.7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" t="s">
        <v>191</v>
      </c>
      <c r="V516" s="3" t="s">
        <v>192</v>
      </c>
      <c r="W516" s="3"/>
      <c r="X516" s="3"/>
      <c r="Y516" s="36"/>
    </row>
    <row r="517" spans="1:25" ht="12.75">
      <c r="A517" s="36" t="s">
        <v>116</v>
      </c>
      <c r="B517" s="36">
        <v>24</v>
      </c>
      <c r="C517" s="36"/>
      <c r="D517" s="36" t="s">
        <v>21</v>
      </c>
      <c r="E517" s="36" t="s">
        <v>197</v>
      </c>
      <c r="F517" s="36">
        <v>46</v>
      </c>
      <c r="G517" s="36"/>
      <c r="H517" s="36"/>
      <c r="I517" s="36"/>
      <c r="J517" s="36">
        <v>145</v>
      </c>
      <c r="K517" s="36"/>
      <c r="L517" s="36"/>
      <c r="M517" s="36"/>
      <c r="N517" s="36">
        <v>23</v>
      </c>
      <c r="O517" s="36">
        <v>2</v>
      </c>
      <c r="P517" s="36">
        <v>9</v>
      </c>
      <c r="Q517" s="36" t="s">
        <v>181</v>
      </c>
      <c r="R517" s="36" t="s">
        <v>500</v>
      </c>
      <c r="S517" s="36" t="s">
        <v>189</v>
      </c>
      <c r="T517" s="36" t="s">
        <v>392</v>
      </c>
      <c r="U517" s="3" t="s">
        <v>191</v>
      </c>
      <c r="V517" s="3" t="s">
        <v>192</v>
      </c>
      <c r="W517" s="3"/>
      <c r="X517" s="3"/>
      <c r="Y517" s="36" t="str">
        <f>HYPERLINK("http://www.stromypodkontrolou.cz/map/?draw_selection_circle=1#%7B%22lat%22%3A%2049.6648058924158%2C%20%22lng%22%3A%2018.6841811409204%2C%20%22zoom%22%3A%2020%7D")</f>
        <v>http://www.stromypodkontrolou.cz/map/?draw_selection_circle=1#%7B%22lat%22%3A%2049.6648058924158%2C%20%22lng%22%3A%2018.6841811409204%2C%20%22zoom%22%3A%2020%7D</v>
      </c>
    </row>
    <row r="518" spans="1:25" ht="12.7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" t="s">
        <v>171</v>
      </c>
      <c r="V518" s="3" t="s">
        <v>172</v>
      </c>
      <c r="W518" s="3"/>
      <c r="X518" s="3"/>
      <c r="Y518" s="36"/>
    </row>
    <row r="519" spans="1:25" ht="12.75">
      <c r="A519" s="36" t="s">
        <v>66</v>
      </c>
      <c r="B519" s="36">
        <v>22</v>
      </c>
      <c r="C519" s="36"/>
      <c r="D519" s="36" t="s">
        <v>142</v>
      </c>
      <c r="E519" s="36" t="s">
        <v>501</v>
      </c>
      <c r="F519" s="36">
        <v>45</v>
      </c>
      <c r="G519" s="36"/>
      <c r="H519" s="36"/>
      <c r="I519" s="36"/>
      <c r="J519" s="36">
        <v>141</v>
      </c>
      <c r="K519" s="36"/>
      <c r="L519" s="36"/>
      <c r="M519" s="36"/>
      <c r="N519" s="36">
        <v>23</v>
      </c>
      <c r="O519" s="36">
        <v>1</v>
      </c>
      <c r="P519" s="36">
        <v>7</v>
      </c>
      <c r="Q519" s="36" t="s">
        <v>301</v>
      </c>
      <c r="R519" s="36" t="s">
        <v>502</v>
      </c>
      <c r="S519" s="36" t="s">
        <v>189</v>
      </c>
      <c r="T519" s="36" t="s">
        <v>384</v>
      </c>
      <c r="U519" s="3" t="s">
        <v>169</v>
      </c>
      <c r="V519" s="3" t="s">
        <v>170</v>
      </c>
      <c r="W519" s="3"/>
      <c r="X519" s="3"/>
      <c r="Y519" s="36" t="str">
        <f>HYPERLINK("http://www.stromypodkontrolou.cz/map/?draw_selection_circle=1#%7B%22lat%22%3A%2049.6652149218557%2C%20%22lng%22%3A%2018.680422926483%2C%20%22zoom%22%3A%2020%7D")</f>
        <v>http://www.stromypodkontrolou.cz/map/?draw_selection_circle=1#%7B%22lat%22%3A%2049.6652149218557%2C%20%22lng%22%3A%2018.680422926483%2C%20%22zoom%22%3A%2020%7D</v>
      </c>
    </row>
    <row r="520" spans="1:25" ht="12.7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" t="s">
        <v>171</v>
      </c>
      <c r="V520" s="3" t="s">
        <v>172</v>
      </c>
      <c r="W520" s="3"/>
      <c r="X520" s="3"/>
      <c r="Y520" s="36"/>
    </row>
    <row r="521" spans="1:25" ht="12.75">
      <c r="A521" s="36" t="s">
        <v>66</v>
      </c>
      <c r="B521" s="36">
        <v>23</v>
      </c>
      <c r="C521" s="36"/>
      <c r="D521" s="36" t="s">
        <v>142</v>
      </c>
      <c r="E521" s="36" t="s">
        <v>501</v>
      </c>
      <c r="F521" s="36">
        <v>57</v>
      </c>
      <c r="G521" s="36"/>
      <c r="H521" s="36"/>
      <c r="I521" s="36"/>
      <c r="J521" s="36">
        <v>179</v>
      </c>
      <c r="K521" s="36"/>
      <c r="L521" s="36"/>
      <c r="M521" s="36"/>
      <c r="N521" s="36">
        <v>24</v>
      </c>
      <c r="O521" s="36">
        <v>1</v>
      </c>
      <c r="P521" s="36">
        <v>8</v>
      </c>
      <c r="Q521" s="36" t="s">
        <v>301</v>
      </c>
      <c r="R521" s="36" t="s">
        <v>502</v>
      </c>
      <c r="S521" s="36" t="s">
        <v>189</v>
      </c>
      <c r="T521" s="36" t="s">
        <v>384</v>
      </c>
      <c r="U521" s="3" t="s">
        <v>169</v>
      </c>
      <c r="V521" s="3" t="s">
        <v>170</v>
      </c>
      <c r="W521" s="3"/>
      <c r="X521" s="3"/>
      <c r="Y521" s="36" t="str">
        <f>HYPERLINK("http://www.stromypodkontrolou.cz/map/?draw_selection_circle=1#%7B%22lat%22%3A%2049.6651575182613%2C%20%22lng%22%3A%2018.6804764215534%2C%20%22zoom%22%3A%2020%7D")</f>
        <v>http://www.stromypodkontrolou.cz/map/?draw_selection_circle=1#%7B%22lat%22%3A%2049.6651575182613%2C%20%22lng%22%3A%2018.6804764215534%2C%20%22zoom%22%3A%2020%7D</v>
      </c>
    </row>
    <row r="522" spans="1:25" ht="12.7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" t="s">
        <v>171</v>
      </c>
      <c r="V522" s="3" t="s">
        <v>172</v>
      </c>
      <c r="W522" s="3"/>
      <c r="X522" s="3"/>
      <c r="Y522" s="36"/>
    </row>
    <row r="523" spans="1:25" ht="12.75">
      <c r="A523" s="36" t="s">
        <v>66</v>
      </c>
      <c r="B523" s="36">
        <v>24</v>
      </c>
      <c r="C523" s="36"/>
      <c r="D523" s="36" t="s">
        <v>142</v>
      </c>
      <c r="E523" s="36" t="s">
        <v>501</v>
      </c>
      <c r="F523" s="36">
        <v>48</v>
      </c>
      <c r="G523" s="36"/>
      <c r="H523" s="36"/>
      <c r="I523" s="36"/>
      <c r="J523" s="36">
        <v>151</v>
      </c>
      <c r="K523" s="36"/>
      <c r="L523" s="36"/>
      <c r="M523" s="36"/>
      <c r="N523" s="36">
        <v>24</v>
      </c>
      <c r="O523" s="36">
        <v>1</v>
      </c>
      <c r="P523" s="36">
        <v>7</v>
      </c>
      <c r="Q523" s="36" t="s">
        <v>301</v>
      </c>
      <c r="R523" s="36" t="s">
        <v>302</v>
      </c>
      <c r="S523" s="36" t="s">
        <v>189</v>
      </c>
      <c r="T523" s="36" t="s">
        <v>384</v>
      </c>
      <c r="U523" s="3" t="s">
        <v>169</v>
      </c>
      <c r="V523" s="3" t="s">
        <v>170</v>
      </c>
      <c r="W523" s="3"/>
      <c r="X523" s="3"/>
      <c r="Y523" s="36" t="str">
        <f>HYPERLINK("http://www.stromypodkontrolou.cz/map/?draw_selection_circle=1#%7B%22lat%22%3A%2049.6651224382791%2C%20%22lng%22%3A%2018.6805091129197%2C%20%22zoom%22%3A%2020%7D")</f>
        <v>http://www.stromypodkontrolou.cz/map/?draw_selection_circle=1#%7B%22lat%22%3A%2049.6651224382791%2C%20%22lng%22%3A%2018.6805091129197%2C%20%22zoom%22%3A%2020%7D</v>
      </c>
    </row>
    <row r="524" spans="1:25" ht="12.7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" t="s">
        <v>171</v>
      </c>
      <c r="V524" s="3" t="s">
        <v>172</v>
      </c>
      <c r="W524" s="3"/>
      <c r="X524" s="3"/>
      <c r="Y524" s="36"/>
    </row>
    <row r="525" spans="1:25" ht="12.75">
      <c r="A525" s="36" t="s">
        <v>66</v>
      </c>
      <c r="B525" s="36">
        <v>30</v>
      </c>
      <c r="C525" s="36"/>
      <c r="D525" s="36" t="s">
        <v>142</v>
      </c>
      <c r="E525" s="36" t="s">
        <v>501</v>
      </c>
      <c r="F525" s="36">
        <v>58</v>
      </c>
      <c r="G525" s="36"/>
      <c r="H525" s="36"/>
      <c r="I525" s="36"/>
      <c r="J525" s="36">
        <v>182</v>
      </c>
      <c r="K525" s="36"/>
      <c r="L525" s="36"/>
      <c r="M525" s="36"/>
      <c r="N525" s="36">
        <v>23</v>
      </c>
      <c r="O525" s="36">
        <v>2</v>
      </c>
      <c r="P525" s="36">
        <v>8</v>
      </c>
      <c r="Q525" s="36" t="s">
        <v>301</v>
      </c>
      <c r="R525" s="36" t="s">
        <v>503</v>
      </c>
      <c r="S525" s="36" t="s">
        <v>189</v>
      </c>
      <c r="T525" s="36" t="s">
        <v>384</v>
      </c>
      <c r="U525" s="3" t="s">
        <v>169</v>
      </c>
      <c r="V525" s="3" t="s">
        <v>170</v>
      </c>
      <c r="W525" s="3"/>
      <c r="X525" s="3"/>
      <c r="Y525" s="36" t="str">
        <f>HYPERLINK("http://www.stromypodkontrolou.cz/map/?draw_selection_circle=1#%7B%22lat%22%3A%2049.6647441923316%2C%20%22lng%22%3A%2018.6808985790613%2C%20%22zoom%22%3A%2020%7D")</f>
        <v>http://www.stromypodkontrolou.cz/map/?draw_selection_circle=1#%7B%22lat%22%3A%2049.6647441923316%2C%20%22lng%22%3A%2018.6808985790613%2C%20%22zoom%22%3A%2020%7D</v>
      </c>
    </row>
    <row r="526" spans="1:25" ht="12.7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" t="s">
        <v>171</v>
      </c>
      <c r="V526" s="3" t="s">
        <v>172</v>
      </c>
      <c r="W526" s="3"/>
      <c r="X526" s="3"/>
      <c r="Y526" s="36"/>
    </row>
    <row r="527" spans="1:25" ht="12.75">
      <c r="A527" s="36" t="s">
        <v>66</v>
      </c>
      <c r="B527" s="36">
        <v>31</v>
      </c>
      <c r="C527" s="36"/>
      <c r="D527" s="36" t="s">
        <v>142</v>
      </c>
      <c r="E527" s="36" t="s">
        <v>501</v>
      </c>
      <c r="F527" s="36">
        <v>54</v>
      </c>
      <c r="G527" s="36"/>
      <c r="H527" s="36"/>
      <c r="I527" s="36"/>
      <c r="J527" s="36">
        <v>170</v>
      </c>
      <c r="K527" s="36"/>
      <c r="L527" s="36"/>
      <c r="M527" s="36"/>
      <c r="N527" s="36">
        <v>23</v>
      </c>
      <c r="O527" s="36">
        <v>2</v>
      </c>
      <c r="P527" s="36">
        <v>8</v>
      </c>
      <c r="Q527" s="36" t="s">
        <v>301</v>
      </c>
      <c r="R527" s="36" t="s">
        <v>503</v>
      </c>
      <c r="S527" s="36" t="s">
        <v>189</v>
      </c>
      <c r="T527" s="36" t="s">
        <v>384</v>
      </c>
      <c r="U527" s="3" t="s">
        <v>169</v>
      </c>
      <c r="V527" s="3" t="s">
        <v>170</v>
      </c>
      <c r="W527" s="3"/>
      <c r="X527" s="3"/>
      <c r="Y527" s="36" t="str">
        <f>HYPERLINK("http://www.stromypodkontrolou.cz/map/?draw_selection_circle=1#%7B%22lat%22%3A%2049.6646758544516%2C%20%22lng%22%3A%2018.6809622623806%2C%20%22zoom%22%3A%2020%7D")</f>
        <v>http://www.stromypodkontrolou.cz/map/?draw_selection_circle=1#%7B%22lat%22%3A%2049.6646758544516%2C%20%22lng%22%3A%2018.6809622623806%2C%20%22zoom%22%3A%2020%7D</v>
      </c>
    </row>
    <row r="528" spans="1:25" ht="12.7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" t="s">
        <v>171</v>
      </c>
      <c r="V528" s="3" t="s">
        <v>172</v>
      </c>
      <c r="W528" s="3"/>
      <c r="X528" s="3"/>
      <c r="Y528" s="36"/>
    </row>
    <row r="529" spans="1:25" ht="12.75">
      <c r="A529" s="36" t="s">
        <v>66</v>
      </c>
      <c r="B529" s="36">
        <v>33</v>
      </c>
      <c r="C529" s="36"/>
      <c r="D529" s="36" t="s">
        <v>142</v>
      </c>
      <c r="E529" s="36" t="s">
        <v>501</v>
      </c>
      <c r="F529" s="36">
        <v>48</v>
      </c>
      <c r="G529" s="36"/>
      <c r="H529" s="36"/>
      <c r="I529" s="36"/>
      <c r="J529" s="36">
        <v>151</v>
      </c>
      <c r="K529" s="36"/>
      <c r="L529" s="36"/>
      <c r="M529" s="36"/>
      <c r="N529" s="36">
        <v>23</v>
      </c>
      <c r="O529" s="36">
        <v>3</v>
      </c>
      <c r="P529" s="36">
        <v>7</v>
      </c>
      <c r="Q529" s="36" t="s">
        <v>301</v>
      </c>
      <c r="R529" s="36" t="s">
        <v>502</v>
      </c>
      <c r="S529" s="36" t="s">
        <v>189</v>
      </c>
      <c r="T529" s="36" t="s">
        <v>384</v>
      </c>
      <c r="U529" s="3" t="s">
        <v>169</v>
      </c>
      <c r="V529" s="3" t="s">
        <v>170</v>
      </c>
      <c r="W529" s="3"/>
      <c r="X529" s="3"/>
      <c r="Y529" s="36" t="str">
        <f>HYPERLINK("http://www.stromypodkontrolou.cz/map/?draw_selection_circle=1#%7B%22lat%22%3A%2049.6645614955974%2C%20%22lng%22%3A%2018.6811052618049%2C%20%22zoom%22%3A%2020%7D")</f>
        <v>http://www.stromypodkontrolou.cz/map/?draw_selection_circle=1#%7B%22lat%22%3A%2049.6645614955974%2C%20%22lng%22%3A%2018.6811052618049%2C%20%22zoom%22%3A%2020%7D</v>
      </c>
    </row>
    <row r="530" spans="1:25" ht="12.7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" t="s">
        <v>171</v>
      </c>
      <c r="V530" s="3" t="s">
        <v>172</v>
      </c>
      <c r="W530" s="3"/>
      <c r="X530" s="3"/>
      <c r="Y530" s="36"/>
    </row>
    <row r="531" spans="1:25" ht="12.75">
      <c r="A531" s="3" t="s">
        <v>35</v>
      </c>
      <c r="B531" s="3">
        <v>52</v>
      </c>
      <c r="C531" s="3"/>
      <c r="D531" s="3" t="s">
        <v>11</v>
      </c>
      <c r="E531" s="3" t="s">
        <v>173</v>
      </c>
      <c r="F531" s="3">
        <v>52</v>
      </c>
      <c r="G531" s="3"/>
      <c r="H531" s="3"/>
      <c r="I531" s="3"/>
      <c r="J531" s="3">
        <v>163</v>
      </c>
      <c r="K531" s="3"/>
      <c r="L531" s="3"/>
      <c r="M531" s="3"/>
      <c r="N531" s="3">
        <v>20</v>
      </c>
      <c r="O531" s="3">
        <v>2</v>
      </c>
      <c r="P531" s="3">
        <v>9</v>
      </c>
      <c r="Q531" s="3" t="s">
        <v>301</v>
      </c>
      <c r="R531" s="3" t="s">
        <v>504</v>
      </c>
      <c r="S531" s="3" t="s">
        <v>189</v>
      </c>
      <c r="T531" s="3" t="s">
        <v>223</v>
      </c>
      <c r="U531" s="3" t="s">
        <v>218</v>
      </c>
      <c r="V531" s="3" t="s">
        <v>219</v>
      </c>
      <c r="W531" s="3"/>
      <c r="X531" s="3"/>
      <c r="Y531" s="3" t="str">
        <f>HYPERLINK("http://www.stromypodkontrolou.cz/map/?draw_selection_circle=1#%7B%22lat%22%3A%2049.6685386293113%2C%20%22lng%22%3A%2018.6787217184367%2C%20%22zoom%22%3A%2020%7D")</f>
        <v>http://www.stromypodkontrolou.cz/map/?draw_selection_circle=1#%7B%22lat%22%3A%2049.6685386293113%2C%20%22lng%22%3A%2018.6787217184367%2C%20%22zoom%22%3A%2020%7D</v>
      </c>
    </row>
    <row r="532" spans="1:25" ht="12.75">
      <c r="A532" s="36" t="s">
        <v>101</v>
      </c>
      <c r="B532" s="36">
        <v>83</v>
      </c>
      <c r="C532" s="36"/>
      <c r="D532" s="36" t="s">
        <v>21</v>
      </c>
      <c r="E532" s="36" t="s">
        <v>197</v>
      </c>
      <c r="F532" s="36">
        <v>52</v>
      </c>
      <c r="G532" s="36"/>
      <c r="H532" s="36"/>
      <c r="I532" s="36"/>
      <c r="J532" s="36">
        <v>163</v>
      </c>
      <c r="K532" s="36"/>
      <c r="L532" s="36"/>
      <c r="M532" s="36"/>
      <c r="N532" s="36">
        <v>22</v>
      </c>
      <c r="O532" s="36">
        <v>2</v>
      </c>
      <c r="P532" s="36">
        <v>10</v>
      </c>
      <c r="Q532" s="36" t="s">
        <v>301</v>
      </c>
      <c r="R532" s="36" t="s">
        <v>505</v>
      </c>
      <c r="S532" s="36" t="s">
        <v>189</v>
      </c>
      <c r="T532" s="36" t="s">
        <v>341</v>
      </c>
      <c r="U532" s="3" t="s">
        <v>218</v>
      </c>
      <c r="V532" s="3" t="s">
        <v>219</v>
      </c>
      <c r="W532" s="3"/>
      <c r="X532" s="3"/>
      <c r="Y532" s="36" t="str">
        <f>HYPERLINK("http://www.stromypodkontrolou.cz/map/?draw_selection_circle=1#%7B%22lat%22%3A%2049.6653965926%2C%20%22lng%22%3A%2018.6787083%2C%20%22zoom%22%3A%2020%7D")</f>
        <v>http://www.stromypodkontrolou.cz/map/?draw_selection_circle=1#%7B%22lat%22%3A%2049.6653965926%2C%20%22lng%22%3A%2018.6787083%2C%20%22zoom%22%3A%2020%7D</v>
      </c>
    </row>
    <row r="533" spans="1:25" ht="12.7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" t="s">
        <v>171</v>
      </c>
      <c r="V533" s="3" t="s">
        <v>172</v>
      </c>
      <c r="W533" s="3"/>
      <c r="X533" s="3"/>
      <c r="Y533" s="36"/>
    </row>
    <row r="534" spans="1:25" ht="12.75">
      <c r="A534" s="36" t="s">
        <v>101</v>
      </c>
      <c r="B534" s="36">
        <v>82</v>
      </c>
      <c r="C534" s="36"/>
      <c r="D534" s="36" t="s">
        <v>21</v>
      </c>
      <c r="E534" s="36" t="s">
        <v>197</v>
      </c>
      <c r="F534" s="36">
        <v>66</v>
      </c>
      <c r="G534" s="36"/>
      <c r="H534" s="36"/>
      <c r="I534" s="36"/>
      <c r="J534" s="36">
        <v>207</v>
      </c>
      <c r="K534" s="36"/>
      <c r="L534" s="36"/>
      <c r="M534" s="36"/>
      <c r="N534" s="36">
        <v>23</v>
      </c>
      <c r="O534" s="36">
        <v>2</v>
      </c>
      <c r="P534" s="36">
        <v>9</v>
      </c>
      <c r="Q534" s="36" t="s">
        <v>181</v>
      </c>
      <c r="R534" s="36" t="s">
        <v>506</v>
      </c>
      <c r="S534" s="36" t="s">
        <v>189</v>
      </c>
      <c r="T534" s="36" t="s">
        <v>341</v>
      </c>
      <c r="U534" s="3" t="s">
        <v>191</v>
      </c>
      <c r="V534" s="3" t="s">
        <v>192</v>
      </c>
      <c r="W534" s="3"/>
      <c r="X534" s="3"/>
      <c r="Y534" s="36" t="str">
        <f>HYPERLINK("http://www.stromypodkontrolou.cz/map/?draw_selection_circle=1#%7B%22lat%22%3A%2049.6653791070906%2C%20%22lng%22%3A%2018.67887611306%2C%20%22zoom%22%3A%2020%7D")</f>
        <v>http://www.stromypodkontrolou.cz/map/?draw_selection_circle=1#%7B%22lat%22%3A%2049.6653791070906%2C%20%22lng%22%3A%2018.67887611306%2C%20%22zoom%22%3A%2020%7D</v>
      </c>
    </row>
    <row r="535" spans="1:25" ht="12.7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" t="s">
        <v>171</v>
      </c>
      <c r="V535" s="3" t="s">
        <v>172</v>
      </c>
      <c r="W535" s="3"/>
      <c r="X535" s="3"/>
      <c r="Y535" s="36"/>
    </row>
    <row r="536" spans="1:25" ht="12.75">
      <c r="A536" s="36" t="s">
        <v>101</v>
      </c>
      <c r="B536" s="36">
        <v>84</v>
      </c>
      <c r="C536" s="36"/>
      <c r="D536" s="36" t="s">
        <v>21</v>
      </c>
      <c r="E536" s="36" t="s">
        <v>197</v>
      </c>
      <c r="F536" s="36">
        <v>43</v>
      </c>
      <c r="G536" s="36"/>
      <c r="H536" s="36"/>
      <c r="I536" s="36"/>
      <c r="J536" s="36">
        <v>135</v>
      </c>
      <c r="K536" s="36"/>
      <c r="L536" s="36"/>
      <c r="M536" s="36"/>
      <c r="N536" s="36">
        <v>22</v>
      </c>
      <c r="O536" s="36">
        <v>6</v>
      </c>
      <c r="P536" s="36">
        <v>7</v>
      </c>
      <c r="Q536" s="36" t="s">
        <v>181</v>
      </c>
      <c r="R536" s="36" t="s">
        <v>321</v>
      </c>
      <c r="S536" s="36" t="s">
        <v>189</v>
      </c>
      <c r="T536" s="36" t="s">
        <v>341</v>
      </c>
      <c r="U536" s="3" t="s">
        <v>191</v>
      </c>
      <c r="V536" s="3" t="s">
        <v>192</v>
      </c>
      <c r="W536" s="3"/>
      <c r="X536" s="3"/>
      <c r="Y536" s="36" t="str">
        <f>HYPERLINK("http://www.stromypodkontrolou.cz/map/?draw_selection_circle=1#%7B%22lat%22%3A%2049.6653128756522%2C%20%22lng%22%3A%2018.6788631721785%2C%20%22zoom%22%3A%2020%7D")</f>
        <v>http://www.stromypodkontrolou.cz/map/?draw_selection_circle=1#%7B%22lat%22%3A%2049.6653128756522%2C%20%22lng%22%3A%2018.6788631721785%2C%20%22zoom%22%3A%2020%7D</v>
      </c>
    </row>
    <row r="537" spans="1:25" ht="12.7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" t="s">
        <v>171</v>
      </c>
      <c r="V537" s="3" t="s">
        <v>172</v>
      </c>
      <c r="W537" s="3"/>
      <c r="X537" s="3"/>
      <c r="Y537" s="36"/>
    </row>
    <row r="538" spans="1:25" ht="12.75">
      <c r="A538" s="36" t="s">
        <v>64</v>
      </c>
      <c r="B538" s="36">
        <v>59</v>
      </c>
      <c r="C538" s="36"/>
      <c r="D538" s="36" t="s">
        <v>11</v>
      </c>
      <c r="E538" s="36" t="s">
        <v>173</v>
      </c>
      <c r="F538" s="36">
        <v>66</v>
      </c>
      <c r="G538" s="36"/>
      <c r="H538" s="36"/>
      <c r="I538" s="36"/>
      <c r="J538" s="36">
        <v>207</v>
      </c>
      <c r="K538" s="36"/>
      <c r="L538" s="36"/>
      <c r="M538" s="36"/>
      <c r="N538" s="36">
        <v>22</v>
      </c>
      <c r="O538" s="36">
        <v>6</v>
      </c>
      <c r="P538" s="36">
        <v>14</v>
      </c>
      <c r="Q538" s="36" t="s">
        <v>181</v>
      </c>
      <c r="R538" s="36" t="s">
        <v>507</v>
      </c>
      <c r="S538" s="36" t="s">
        <v>189</v>
      </c>
      <c r="T538" s="36" t="s">
        <v>275</v>
      </c>
      <c r="U538" s="3" t="s">
        <v>191</v>
      </c>
      <c r="V538" s="3" t="s">
        <v>192</v>
      </c>
      <c r="W538" s="3"/>
      <c r="X538" s="3"/>
      <c r="Y538" s="36" t="str">
        <f>HYPERLINK("http://www.stromypodkontrolou.cz/map/?draw_selection_circle=1#%7B%22lat%22%3A%2049.6635301110313%2C%20%22lng%22%3A%2018.6855509858763%2C%20%22zoom%22%3A%2020%7D")</f>
        <v>http://www.stromypodkontrolou.cz/map/?draw_selection_circle=1#%7B%22lat%22%3A%2049.6635301110313%2C%20%22lng%22%3A%2018.6855509858763%2C%20%22zoom%22%3A%2020%7D</v>
      </c>
    </row>
    <row r="539" spans="1:25" ht="12.7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" t="s">
        <v>171</v>
      </c>
      <c r="V539" s="3" t="s">
        <v>172</v>
      </c>
      <c r="W539" s="3"/>
      <c r="X539" s="3"/>
      <c r="Y539" s="36"/>
    </row>
    <row r="540" spans="1:25" ht="12.75">
      <c r="A540" s="36" t="s">
        <v>64</v>
      </c>
      <c r="B540" s="36">
        <v>6</v>
      </c>
      <c r="C540" s="36"/>
      <c r="D540" s="36" t="s">
        <v>24</v>
      </c>
      <c r="E540" s="36" t="s">
        <v>200</v>
      </c>
      <c r="F540" s="36">
        <v>38</v>
      </c>
      <c r="G540" s="36"/>
      <c r="H540" s="36"/>
      <c r="I540" s="36"/>
      <c r="J540" s="36">
        <v>119</v>
      </c>
      <c r="K540" s="36"/>
      <c r="L540" s="36"/>
      <c r="M540" s="36"/>
      <c r="N540" s="36">
        <v>15</v>
      </c>
      <c r="O540" s="36">
        <v>2</v>
      </c>
      <c r="P540" s="36">
        <v>8</v>
      </c>
      <c r="Q540" s="36" t="s">
        <v>181</v>
      </c>
      <c r="R540" s="36" t="s">
        <v>508</v>
      </c>
      <c r="S540" s="36" t="s">
        <v>189</v>
      </c>
      <c r="T540" s="36" t="s">
        <v>509</v>
      </c>
      <c r="U540" s="3" t="s">
        <v>169</v>
      </c>
      <c r="V540" s="3" t="s">
        <v>170</v>
      </c>
      <c r="W540" s="3"/>
      <c r="X540" s="3"/>
      <c r="Y540" s="36" t="str">
        <f>HYPERLINK("http://www.stromypodkontrolou.cz/map/?draw_selection_circle=1#%7B%22lat%22%3A%2049.6642096728028%2C%20%22lng%22%3A%2018.6863028700314%2C%20%22zoom%22%3A%2020%7D")</f>
        <v>http://www.stromypodkontrolou.cz/map/?draw_selection_circle=1#%7B%22lat%22%3A%2049.6642096728028%2C%20%22lng%22%3A%2018.6863028700314%2C%20%22zoom%22%3A%2020%7D</v>
      </c>
    </row>
    <row r="541" spans="1:25" ht="12.7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" t="s">
        <v>171</v>
      </c>
      <c r="V541" s="3" t="s">
        <v>172</v>
      </c>
      <c r="W541" s="3"/>
      <c r="X541" s="3"/>
      <c r="Y541" s="36"/>
    </row>
    <row r="542" spans="1:25" ht="12.75">
      <c r="A542" s="36" t="s">
        <v>64</v>
      </c>
      <c r="B542" s="36">
        <v>2</v>
      </c>
      <c r="C542" s="36"/>
      <c r="D542" s="36" t="s">
        <v>14</v>
      </c>
      <c r="E542" s="36" t="s">
        <v>180</v>
      </c>
      <c r="F542" s="36">
        <v>40</v>
      </c>
      <c r="G542" s="36"/>
      <c r="H542" s="36"/>
      <c r="I542" s="36"/>
      <c r="J542" s="36">
        <v>126</v>
      </c>
      <c r="K542" s="36"/>
      <c r="L542" s="36"/>
      <c r="M542" s="36"/>
      <c r="N542" s="36">
        <v>16</v>
      </c>
      <c r="O542" s="36">
        <v>2</v>
      </c>
      <c r="P542" s="36">
        <v>8</v>
      </c>
      <c r="Q542" s="36" t="s">
        <v>181</v>
      </c>
      <c r="R542" s="36" t="s">
        <v>510</v>
      </c>
      <c r="S542" s="36" t="s">
        <v>189</v>
      </c>
      <c r="T542" s="36" t="s">
        <v>509</v>
      </c>
      <c r="U542" s="3" t="s">
        <v>218</v>
      </c>
      <c r="V542" s="3" t="s">
        <v>219</v>
      </c>
      <c r="W542" s="3"/>
      <c r="X542" s="3"/>
      <c r="Y542" s="36" t="str">
        <f>HYPERLINK("http://www.stromypodkontrolou.cz/map/?draw_selection_circle=1#%7B%22lat%22%3A%2049.6643284985701%2C%20%22lng%22%3A%2018.6861538103269%2C%20%22zoom%22%3A%2020%7D")</f>
        <v>http://www.stromypodkontrolou.cz/map/?draw_selection_circle=1#%7B%22lat%22%3A%2049.6643284985701%2C%20%22lng%22%3A%2018.6861538103269%2C%20%22zoom%22%3A%2020%7D</v>
      </c>
    </row>
    <row r="543" spans="1:25" ht="12.7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" t="s">
        <v>171</v>
      </c>
      <c r="V543" s="3" t="s">
        <v>172</v>
      </c>
      <c r="W543" s="3"/>
      <c r="X543" s="3"/>
      <c r="Y543" s="36"/>
    </row>
    <row r="544" spans="1:25" ht="12.75">
      <c r="A544" s="36" t="s">
        <v>25</v>
      </c>
      <c r="B544" s="36">
        <v>128</v>
      </c>
      <c r="C544" s="36"/>
      <c r="D544" s="36" t="s">
        <v>24</v>
      </c>
      <c r="E544" s="36" t="s">
        <v>200</v>
      </c>
      <c r="F544" s="36">
        <v>32</v>
      </c>
      <c r="G544" s="36"/>
      <c r="H544" s="36"/>
      <c r="I544" s="36"/>
      <c r="J544" s="36">
        <v>101</v>
      </c>
      <c r="K544" s="36"/>
      <c r="L544" s="36"/>
      <c r="M544" s="36"/>
      <c r="N544" s="36">
        <v>16</v>
      </c>
      <c r="O544" s="36">
        <v>2</v>
      </c>
      <c r="P544" s="36">
        <v>8</v>
      </c>
      <c r="Q544" s="36" t="s">
        <v>181</v>
      </c>
      <c r="R544" s="36" t="s">
        <v>511</v>
      </c>
      <c r="S544" s="36" t="s">
        <v>189</v>
      </c>
      <c r="T544" s="36" t="s">
        <v>203</v>
      </c>
      <c r="U544" s="3" t="s">
        <v>191</v>
      </c>
      <c r="V544" s="3" t="s">
        <v>192</v>
      </c>
      <c r="W544" s="3"/>
      <c r="X544" s="3"/>
      <c r="Y544" s="36" t="str">
        <f>HYPERLINK("http://www.stromypodkontrolou.cz/map/?draw_selection_circle=1#%7B%22lat%22%3A%2049.664517991045%2C%20%22lng%22%3A%2018.673287409641%2C%20%22zoom%22%3A%2020%7D")</f>
        <v>http://www.stromypodkontrolou.cz/map/?draw_selection_circle=1#%7B%22lat%22%3A%2049.664517991045%2C%20%22lng%22%3A%2018.673287409641%2C%20%22zoom%22%3A%2020%7D</v>
      </c>
    </row>
    <row r="545" spans="1:25" ht="12.7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" t="s">
        <v>171</v>
      </c>
      <c r="V545" s="3" t="s">
        <v>172</v>
      </c>
      <c r="W545" s="3"/>
      <c r="X545" s="3"/>
      <c r="Y545" s="36"/>
    </row>
    <row r="546" spans="1:25" ht="12.75">
      <c r="A546" s="36" t="s">
        <v>124</v>
      </c>
      <c r="B546" s="36">
        <v>26</v>
      </c>
      <c r="C546" s="36"/>
      <c r="D546" s="36" t="s">
        <v>14</v>
      </c>
      <c r="E546" s="36" t="s">
        <v>180</v>
      </c>
      <c r="F546" s="36">
        <v>50</v>
      </c>
      <c r="G546" s="36"/>
      <c r="H546" s="36"/>
      <c r="I546" s="36"/>
      <c r="J546" s="36">
        <v>157</v>
      </c>
      <c r="K546" s="36"/>
      <c r="L546" s="36"/>
      <c r="M546" s="36"/>
      <c r="N546" s="36">
        <v>14</v>
      </c>
      <c r="O546" s="36">
        <v>1</v>
      </c>
      <c r="P546" s="36">
        <v>10</v>
      </c>
      <c r="Q546" s="36" t="s">
        <v>301</v>
      </c>
      <c r="R546" s="36" t="s">
        <v>512</v>
      </c>
      <c r="S546" s="36" t="s">
        <v>189</v>
      </c>
      <c r="T546" s="36" t="s">
        <v>422</v>
      </c>
      <c r="U546" s="3" t="s">
        <v>169</v>
      </c>
      <c r="V546" s="3" t="s">
        <v>170</v>
      </c>
      <c r="W546" s="3"/>
      <c r="X546" s="3"/>
      <c r="Y546" s="36" t="str">
        <f>HYPERLINK("http://www.stromypodkontrolou.cz/map/?draw_selection_circle=1#%7B%22lat%22%3A%2049.6637476371815%2C%20%22lng%22%3A%2018.6866140362483%2C%20%22zoom%22%3A%2020%7D")</f>
        <v>http://www.stromypodkontrolou.cz/map/?draw_selection_circle=1#%7B%22lat%22%3A%2049.6637476371815%2C%20%22lng%22%3A%2018.6866140362483%2C%20%22zoom%22%3A%2020%7D</v>
      </c>
    </row>
    <row r="547" spans="1:25" ht="12.7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" t="s">
        <v>171</v>
      </c>
      <c r="V547" s="3" t="s">
        <v>172</v>
      </c>
      <c r="W547" s="3"/>
      <c r="X547" s="3"/>
      <c r="Y547" s="36"/>
    </row>
    <row r="548" spans="1:25" ht="12.75">
      <c r="A548" s="36" t="s">
        <v>38</v>
      </c>
      <c r="B548" s="36">
        <v>114</v>
      </c>
      <c r="C548" s="36"/>
      <c r="D548" s="36" t="s">
        <v>24</v>
      </c>
      <c r="E548" s="36" t="s">
        <v>200</v>
      </c>
      <c r="F548" s="36">
        <v>39</v>
      </c>
      <c r="G548" s="36"/>
      <c r="H548" s="36"/>
      <c r="I548" s="36"/>
      <c r="J548" s="36">
        <v>123</v>
      </c>
      <c r="K548" s="36"/>
      <c r="L548" s="36"/>
      <c r="M548" s="36"/>
      <c r="N548" s="36">
        <v>14</v>
      </c>
      <c r="O548" s="36">
        <v>3</v>
      </c>
      <c r="P548" s="36">
        <v>9</v>
      </c>
      <c r="Q548" s="36" t="s">
        <v>181</v>
      </c>
      <c r="R548" s="36" t="s">
        <v>513</v>
      </c>
      <c r="S548" s="36" t="s">
        <v>189</v>
      </c>
      <c r="T548" s="36" t="s">
        <v>237</v>
      </c>
      <c r="U548" s="3" t="s">
        <v>224</v>
      </c>
      <c r="V548" s="3" t="s">
        <v>225</v>
      </c>
      <c r="W548" s="3"/>
      <c r="X548" s="3"/>
      <c r="Y548" s="36" t="str">
        <f>HYPERLINK("http://www.stromypodkontrolou.cz/map/?draw_selection_circle=1#%7B%22lat%22%3A%2049.6621872815161%2C%20%22lng%22%3A%2018.6785481748209%2C%20%22zoom%22%3A%2020%7D")</f>
        <v>http://www.stromypodkontrolou.cz/map/?draw_selection_circle=1#%7B%22lat%22%3A%2049.6621872815161%2C%20%22lng%22%3A%2018.6785481748209%2C%20%22zoom%22%3A%2020%7D</v>
      </c>
    </row>
    <row r="549" spans="1:25" ht="12.7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" t="s">
        <v>171</v>
      </c>
      <c r="V549" s="3" t="s">
        <v>172</v>
      </c>
      <c r="W549" s="3"/>
      <c r="X549" s="3"/>
      <c r="Y549" s="36"/>
    </row>
  </sheetData>
  <sheetProtection/>
  <mergeCells count="4725">
    <mergeCell ref="A2:A3"/>
    <mergeCell ref="G2:G3"/>
    <mergeCell ref="F2:F3"/>
    <mergeCell ref="E2:E3"/>
    <mergeCell ref="D2:D3"/>
    <mergeCell ref="C2:C3"/>
    <mergeCell ref="B2:B3"/>
    <mergeCell ref="M2:M3"/>
    <mergeCell ref="L2:L3"/>
    <mergeCell ref="K2:K3"/>
    <mergeCell ref="J2:J3"/>
    <mergeCell ref="I2:I3"/>
    <mergeCell ref="H2:H3"/>
    <mergeCell ref="P2:P3"/>
    <mergeCell ref="O2:O3"/>
    <mergeCell ref="N2:N3"/>
    <mergeCell ref="Y2:Y3"/>
    <mergeCell ref="T2:T3"/>
    <mergeCell ref="S2:S3"/>
    <mergeCell ref="R2:R3"/>
    <mergeCell ref="Q2:Q3"/>
    <mergeCell ref="D4:D5"/>
    <mergeCell ref="C4:C5"/>
    <mergeCell ref="B4:B5"/>
    <mergeCell ref="A4:A5"/>
    <mergeCell ref="J4:J5"/>
    <mergeCell ref="I4:I5"/>
    <mergeCell ref="H4:H5"/>
    <mergeCell ref="G4:G5"/>
    <mergeCell ref="F4:F5"/>
    <mergeCell ref="E4:E5"/>
    <mergeCell ref="P4:P5"/>
    <mergeCell ref="O4:O5"/>
    <mergeCell ref="N4:N5"/>
    <mergeCell ref="M4:M5"/>
    <mergeCell ref="L4:L5"/>
    <mergeCell ref="K4:K5"/>
    <mergeCell ref="Y4:Y5"/>
    <mergeCell ref="T4:T5"/>
    <mergeCell ref="S4:S5"/>
    <mergeCell ref="R4:R5"/>
    <mergeCell ref="Q4:Q5"/>
    <mergeCell ref="E6:E7"/>
    <mergeCell ref="P6:P7"/>
    <mergeCell ref="O6:O7"/>
    <mergeCell ref="N6:N7"/>
    <mergeCell ref="M6:M7"/>
    <mergeCell ref="D6:D7"/>
    <mergeCell ref="C6:C7"/>
    <mergeCell ref="B6:B7"/>
    <mergeCell ref="A6:A7"/>
    <mergeCell ref="K6:K7"/>
    <mergeCell ref="J6:J7"/>
    <mergeCell ref="I6:I7"/>
    <mergeCell ref="H6:H7"/>
    <mergeCell ref="G6:G7"/>
    <mergeCell ref="F6:F7"/>
    <mergeCell ref="L6:L7"/>
    <mergeCell ref="Y6:Y7"/>
    <mergeCell ref="T6:T7"/>
    <mergeCell ref="S6:S7"/>
    <mergeCell ref="R6:R7"/>
    <mergeCell ref="Q6:Q7"/>
    <mergeCell ref="F11:F12"/>
    <mergeCell ref="E11:E12"/>
    <mergeCell ref="D11:D12"/>
    <mergeCell ref="C11:C12"/>
    <mergeCell ref="B11:B12"/>
    <mergeCell ref="A11:A12"/>
    <mergeCell ref="L11:L12"/>
    <mergeCell ref="K11:K12"/>
    <mergeCell ref="J11:J12"/>
    <mergeCell ref="I11:I12"/>
    <mergeCell ref="H11:H12"/>
    <mergeCell ref="G11:G12"/>
    <mergeCell ref="P11:P12"/>
    <mergeCell ref="O11:O12"/>
    <mergeCell ref="N11:N12"/>
    <mergeCell ref="M11:M12"/>
    <mergeCell ref="A13:A14"/>
    <mergeCell ref="Y11:Y12"/>
    <mergeCell ref="T11:T12"/>
    <mergeCell ref="S11:S12"/>
    <mergeCell ref="R11:R12"/>
    <mergeCell ref="Q11:Q12"/>
    <mergeCell ref="G13:G14"/>
    <mergeCell ref="F13:F14"/>
    <mergeCell ref="E13:E14"/>
    <mergeCell ref="D13:D14"/>
    <mergeCell ref="C13:C14"/>
    <mergeCell ref="B13:B14"/>
    <mergeCell ref="M13:M14"/>
    <mergeCell ref="L13:L14"/>
    <mergeCell ref="K13:K14"/>
    <mergeCell ref="J13:J14"/>
    <mergeCell ref="I13:I14"/>
    <mergeCell ref="H13:H14"/>
    <mergeCell ref="P13:P14"/>
    <mergeCell ref="O13:O14"/>
    <mergeCell ref="N13:N14"/>
    <mergeCell ref="Y13:Y14"/>
    <mergeCell ref="T13:T14"/>
    <mergeCell ref="S13:S14"/>
    <mergeCell ref="R13:R14"/>
    <mergeCell ref="Q13:Q14"/>
    <mergeCell ref="D15:D16"/>
    <mergeCell ref="C15:C16"/>
    <mergeCell ref="B15:B16"/>
    <mergeCell ref="A15:A16"/>
    <mergeCell ref="J15:J16"/>
    <mergeCell ref="I15:I16"/>
    <mergeCell ref="H15:H16"/>
    <mergeCell ref="G15:G16"/>
    <mergeCell ref="F15:F16"/>
    <mergeCell ref="E15:E16"/>
    <mergeCell ref="P15:P16"/>
    <mergeCell ref="O15:O16"/>
    <mergeCell ref="N15:N16"/>
    <mergeCell ref="M15:M16"/>
    <mergeCell ref="L15:L16"/>
    <mergeCell ref="K15:K16"/>
    <mergeCell ref="Y15:Y16"/>
    <mergeCell ref="T15:T16"/>
    <mergeCell ref="S15:S16"/>
    <mergeCell ref="R15:R16"/>
    <mergeCell ref="Q15:Q16"/>
    <mergeCell ref="E17:E18"/>
    <mergeCell ref="P17:P18"/>
    <mergeCell ref="O17:O18"/>
    <mergeCell ref="N17:N18"/>
    <mergeCell ref="M17:M18"/>
    <mergeCell ref="D17:D18"/>
    <mergeCell ref="C17:C18"/>
    <mergeCell ref="B17:B18"/>
    <mergeCell ref="A17:A18"/>
    <mergeCell ref="K17:K18"/>
    <mergeCell ref="J17:J18"/>
    <mergeCell ref="I17:I18"/>
    <mergeCell ref="H17:H18"/>
    <mergeCell ref="G17:G18"/>
    <mergeCell ref="F17:F18"/>
    <mergeCell ref="L17:L18"/>
    <mergeCell ref="Y17:Y18"/>
    <mergeCell ref="T17:T18"/>
    <mergeCell ref="S17:S18"/>
    <mergeCell ref="R17:R18"/>
    <mergeCell ref="Q17:Q18"/>
    <mergeCell ref="F19:F20"/>
    <mergeCell ref="E19:E20"/>
    <mergeCell ref="D19:D20"/>
    <mergeCell ref="C19:C20"/>
    <mergeCell ref="B19:B20"/>
    <mergeCell ref="A19:A20"/>
    <mergeCell ref="L19:L20"/>
    <mergeCell ref="K19:K20"/>
    <mergeCell ref="J19:J20"/>
    <mergeCell ref="I19:I20"/>
    <mergeCell ref="H19:H20"/>
    <mergeCell ref="G19:G20"/>
    <mergeCell ref="P19:P20"/>
    <mergeCell ref="O19:O20"/>
    <mergeCell ref="N19:N20"/>
    <mergeCell ref="M19:M20"/>
    <mergeCell ref="A21:A22"/>
    <mergeCell ref="Y19:Y20"/>
    <mergeCell ref="T19:T20"/>
    <mergeCell ref="S19:S20"/>
    <mergeCell ref="R19:R20"/>
    <mergeCell ref="Q19:Q20"/>
    <mergeCell ref="G21:G22"/>
    <mergeCell ref="F21:F22"/>
    <mergeCell ref="E21:E22"/>
    <mergeCell ref="D21:D22"/>
    <mergeCell ref="C21:C22"/>
    <mergeCell ref="B21:B22"/>
    <mergeCell ref="M21:M22"/>
    <mergeCell ref="L21:L22"/>
    <mergeCell ref="K21:K22"/>
    <mergeCell ref="J21:J22"/>
    <mergeCell ref="I21:I22"/>
    <mergeCell ref="H21:H22"/>
    <mergeCell ref="P21:P22"/>
    <mergeCell ref="O21:O22"/>
    <mergeCell ref="N21:N22"/>
    <mergeCell ref="Y21:Y22"/>
    <mergeCell ref="T21:T22"/>
    <mergeCell ref="S21:S22"/>
    <mergeCell ref="R21:R22"/>
    <mergeCell ref="Q21:Q22"/>
    <mergeCell ref="D26:D27"/>
    <mergeCell ref="C26:C27"/>
    <mergeCell ref="B26:B27"/>
    <mergeCell ref="A26:A27"/>
    <mergeCell ref="J26:J27"/>
    <mergeCell ref="I26:I27"/>
    <mergeCell ref="H26:H27"/>
    <mergeCell ref="G26:G27"/>
    <mergeCell ref="F26:F27"/>
    <mergeCell ref="E26:E27"/>
    <mergeCell ref="P26:P27"/>
    <mergeCell ref="O26:O27"/>
    <mergeCell ref="N26:N27"/>
    <mergeCell ref="M26:M27"/>
    <mergeCell ref="L26:L27"/>
    <mergeCell ref="K26:K27"/>
    <mergeCell ref="Y26:Y27"/>
    <mergeCell ref="T26:T27"/>
    <mergeCell ref="S26:S27"/>
    <mergeCell ref="R26:R27"/>
    <mergeCell ref="Q26:Q27"/>
    <mergeCell ref="E28:E29"/>
    <mergeCell ref="P28:P29"/>
    <mergeCell ref="O28:O29"/>
    <mergeCell ref="N28:N29"/>
    <mergeCell ref="M28:M29"/>
    <mergeCell ref="D28:D29"/>
    <mergeCell ref="C28:C29"/>
    <mergeCell ref="B28:B29"/>
    <mergeCell ref="A28:A29"/>
    <mergeCell ref="K28:K29"/>
    <mergeCell ref="J28:J29"/>
    <mergeCell ref="I28:I29"/>
    <mergeCell ref="H28:H29"/>
    <mergeCell ref="G28:G29"/>
    <mergeCell ref="F28:F29"/>
    <mergeCell ref="L28:L29"/>
    <mergeCell ref="Y28:Y29"/>
    <mergeCell ref="T28:T29"/>
    <mergeCell ref="S28:S29"/>
    <mergeCell ref="R28:R29"/>
    <mergeCell ref="Q28:Q29"/>
    <mergeCell ref="F31:F32"/>
    <mergeCell ref="E31:E32"/>
    <mergeCell ref="D31:D32"/>
    <mergeCell ref="C31:C32"/>
    <mergeCell ref="B31:B32"/>
    <mergeCell ref="A31:A32"/>
    <mergeCell ref="L31:L32"/>
    <mergeCell ref="K31:K32"/>
    <mergeCell ref="J31:J32"/>
    <mergeCell ref="I31:I32"/>
    <mergeCell ref="H31:H32"/>
    <mergeCell ref="G31:G32"/>
    <mergeCell ref="P31:P32"/>
    <mergeCell ref="O31:O32"/>
    <mergeCell ref="N31:N32"/>
    <mergeCell ref="M31:M32"/>
    <mergeCell ref="A33:A34"/>
    <mergeCell ref="Y31:Y32"/>
    <mergeCell ref="T31:T32"/>
    <mergeCell ref="S31:S32"/>
    <mergeCell ref="R31:R32"/>
    <mergeCell ref="Q31:Q32"/>
    <mergeCell ref="G33:G34"/>
    <mergeCell ref="F33:F34"/>
    <mergeCell ref="E33:E34"/>
    <mergeCell ref="D33:D34"/>
    <mergeCell ref="C33:C34"/>
    <mergeCell ref="B33:B34"/>
    <mergeCell ref="M33:M34"/>
    <mergeCell ref="L33:L34"/>
    <mergeCell ref="K33:K34"/>
    <mergeCell ref="J33:J34"/>
    <mergeCell ref="I33:I34"/>
    <mergeCell ref="H33:H34"/>
    <mergeCell ref="P33:P34"/>
    <mergeCell ref="O33:O34"/>
    <mergeCell ref="N33:N34"/>
    <mergeCell ref="Y33:Y34"/>
    <mergeCell ref="T33:T34"/>
    <mergeCell ref="S33:S34"/>
    <mergeCell ref="R33:R34"/>
    <mergeCell ref="Q33:Q34"/>
    <mergeCell ref="D35:D36"/>
    <mergeCell ref="C35:C36"/>
    <mergeCell ref="B35:B36"/>
    <mergeCell ref="A35:A36"/>
    <mergeCell ref="J35:J36"/>
    <mergeCell ref="I35:I36"/>
    <mergeCell ref="H35:H36"/>
    <mergeCell ref="G35:G36"/>
    <mergeCell ref="F35:F36"/>
    <mergeCell ref="E35:E36"/>
    <mergeCell ref="P35:P36"/>
    <mergeCell ref="O35:O36"/>
    <mergeCell ref="N35:N36"/>
    <mergeCell ref="M35:M36"/>
    <mergeCell ref="L35:L36"/>
    <mergeCell ref="K35:K36"/>
    <mergeCell ref="Y35:Y36"/>
    <mergeCell ref="T35:T36"/>
    <mergeCell ref="S35:S36"/>
    <mergeCell ref="R35:R36"/>
    <mergeCell ref="Q35:Q36"/>
    <mergeCell ref="E37:E38"/>
    <mergeCell ref="P37:P38"/>
    <mergeCell ref="O37:O38"/>
    <mergeCell ref="N37:N38"/>
    <mergeCell ref="M37:M38"/>
    <mergeCell ref="D37:D38"/>
    <mergeCell ref="C37:C38"/>
    <mergeCell ref="B37:B38"/>
    <mergeCell ref="A37:A38"/>
    <mergeCell ref="K37:K38"/>
    <mergeCell ref="J37:J38"/>
    <mergeCell ref="I37:I38"/>
    <mergeCell ref="H37:H38"/>
    <mergeCell ref="G37:G38"/>
    <mergeCell ref="F37:F38"/>
    <mergeCell ref="L37:L38"/>
    <mergeCell ref="Y37:Y38"/>
    <mergeCell ref="T37:T38"/>
    <mergeCell ref="S37:S38"/>
    <mergeCell ref="R37:R38"/>
    <mergeCell ref="Q37:Q38"/>
    <mergeCell ref="F39:F40"/>
    <mergeCell ref="E39:E40"/>
    <mergeCell ref="D39:D40"/>
    <mergeCell ref="C39:C40"/>
    <mergeCell ref="B39:B40"/>
    <mergeCell ref="A39:A40"/>
    <mergeCell ref="L39:L40"/>
    <mergeCell ref="K39:K40"/>
    <mergeCell ref="J39:J40"/>
    <mergeCell ref="I39:I40"/>
    <mergeCell ref="H39:H40"/>
    <mergeCell ref="G39:G40"/>
    <mergeCell ref="P39:P40"/>
    <mergeCell ref="O39:O40"/>
    <mergeCell ref="N39:N40"/>
    <mergeCell ref="M39:M40"/>
    <mergeCell ref="A41:A42"/>
    <mergeCell ref="Y39:Y40"/>
    <mergeCell ref="T39:T40"/>
    <mergeCell ref="S39:S40"/>
    <mergeCell ref="R39:R40"/>
    <mergeCell ref="Q39:Q40"/>
    <mergeCell ref="G41:G42"/>
    <mergeCell ref="F41:F42"/>
    <mergeCell ref="E41:E42"/>
    <mergeCell ref="D41:D42"/>
    <mergeCell ref="C41:C42"/>
    <mergeCell ref="B41:B42"/>
    <mergeCell ref="M41:M42"/>
    <mergeCell ref="L41:L42"/>
    <mergeCell ref="K41:K42"/>
    <mergeCell ref="J41:J42"/>
    <mergeCell ref="I41:I42"/>
    <mergeCell ref="H41:H42"/>
    <mergeCell ref="P41:P42"/>
    <mergeCell ref="O41:O42"/>
    <mergeCell ref="N41:N42"/>
    <mergeCell ref="Y41:Y42"/>
    <mergeCell ref="T41:T42"/>
    <mergeCell ref="S41:S42"/>
    <mergeCell ref="R41:R42"/>
    <mergeCell ref="Q41:Q42"/>
    <mergeCell ref="D44:D45"/>
    <mergeCell ref="C44:C45"/>
    <mergeCell ref="B44:B45"/>
    <mergeCell ref="A44:A45"/>
    <mergeCell ref="J44:J45"/>
    <mergeCell ref="I44:I45"/>
    <mergeCell ref="H44:H45"/>
    <mergeCell ref="G44:G45"/>
    <mergeCell ref="F44:F45"/>
    <mergeCell ref="E44:E45"/>
    <mergeCell ref="P44:P45"/>
    <mergeCell ref="O44:O45"/>
    <mergeCell ref="N44:N45"/>
    <mergeCell ref="M44:M45"/>
    <mergeCell ref="L44:L45"/>
    <mergeCell ref="K44:K45"/>
    <mergeCell ref="Y44:Y45"/>
    <mergeCell ref="T44:T45"/>
    <mergeCell ref="S44:S45"/>
    <mergeCell ref="R44:R45"/>
    <mergeCell ref="Q44:Q45"/>
    <mergeCell ref="E46:E47"/>
    <mergeCell ref="P46:P47"/>
    <mergeCell ref="O46:O47"/>
    <mergeCell ref="N46:N47"/>
    <mergeCell ref="M46:M47"/>
    <mergeCell ref="D46:D47"/>
    <mergeCell ref="C46:C47"/>
    <mergeCell ref="B46:B47"/>
    <mergeCell ref="A46:A47"/>
    <mergeCell ref="K46:K47"/>
    <mergeCell ref="J46:J47"/>
    <mergeCell ref="I46:I47"/>
    <mergeCell ref="H46:H47"/>
    <mergeCell ref="G46:G47"/>
    <mergeCell ref="F46:F47"/>
    <mergeCell ref="L46:L47"/>
    <mergeCell ref="Y46:Y47"/>
    <mergeCell ref="T46:T47"/>
    <mergeCell ref="S46:S47"/>
    <mergeCell ref="R46:R47"/>
    <mergeCell ref="Q46:Q47"/>
    <mergeCell ref="F48:F50"/>
    <mergeCell ref="E48:E50"/>
    <mergeCell ref="D48:D50"/>
    <mergeCell ref="C48:C50"/>
    <mergeCell ref="B48:B50"/>
    <mergeCell ref="A48:A50"/>
    <mergeCell ref="L48:L50"/>
    <mergeCell ref="K48:K50"/>
    <mergeCell ref="J48:J50"/>
    <mergeCell ref="I48:I50"/>
    <mergeCell ref="H48:H50"/>
    <mergeCell ref="G48:G50"/>
    <mergeCell ref="P48:P50"/>
    <mergeCell ref="O48:O50"/>
    <mergeCell ref="N48:N50"/>
    <mergeCell ref="M48:M50"/>
    <mergeCell ref="A51:A52"/>
    <mergeCell ref="Y48:Y50"/>
    <mergeCell ref="T48:T50"/>
    <mergeCell ref="S48:S50"/>
    <mergeCell ref="R48:R50"/>
    <mergeCell ref="Q48:Q50"/>
    <mergeCell ref="G51:G52"/>
    <mergeCell ref="F51:F52"/>
    <mergeCell ref="E51:E52"/>
    <mergeCell ref="D51:D52"/>
    <mergeCell ref="C51:C52"/>
    <mergeCell ref="B51:B52"/>
    <mergeCell ref="M51:M52"/>
    <mergeCell ref="L51:L52"/>
    <mergeCell ref="K51:K52"/>
    <mergeCell ref="J51:J52"/>
    <mergeCell ref="I51:I52"/>
    <mergeCell ref="H51:H52"/>
    <mergeCell ref="P51:P52"/>
    <mergeCell ref="O51:O52"/>
    <mergeCell ref="N51:N52"/>
    <mergeCell ref="Y51:Y52"/>
    <mergeCell ref="T51:T52"/>
    <mergeCell ref="S51:S52"/>
    <mergeCell ref="R51:R52"/>
    <mergeCell ref="Q51:Q52"/>
    <mergeCell ref="D53:D54"/>
    <mergeCell ref="C53:C54"/>
    <mergeCell ref="B53:B54"/>
    <mergeCell ref="A53:A54"/>
    <mergeCell ref="J53:J54"/>
    <mergeCell ref="I53:I54"/>
    <mergeCell ref="H53:H54"/>
    <mergeCell ref="G53:G54"/>
    <mergeCell ref="F53:F54"/>
    <mergeCell ref="E53:E54"/>
    <mergeCell ref="P53:P54"/>
    <mergeCell ref="O53:O54"/>
    <mergeCell ref="N53:N54"/>
    <mergeCell ref="M53:M54"/>
    <mergeCell ref="L53:L54"/>
    <mergeCell ref="K53:K54"/>
    <mergeCell ref="Y53:Y54"/>
    <mergeCell ref="T53:T54"/>
    <mergeCell ref="S53:S54"/>
    <mergeCell ref="R53:R54"/>
    <mergeCell ref="Q53:Q54"/>
    <mergeCell ref="E55:E56"/>
    <mergeCell ref="P55:P56"/>
    <mergeCell ref="O55:O56"/>
    <mergeCell ref="N55:N56"/>
    <mergeCell ref="M55:M56"/>
    <mergeCell ref="D55:D56"/>
    <mergeCell ref="C55:C56"/>
    <mergeCell ref="B55:B56"/>
    <mergeCell ref="A55:A56"/>
    <mergeCell ref="K55:K56"/>
    <mergeCell ref="J55:J56"/>
    <mergeCell ref="I55:I56"/>
    <mergeCell ref="H55:H56"/>
    <mergeCell ref="G55:G56"/>
    <mergeCell ref="F55:F56"/>
    <mergeCell ref="L55:L56"/>
    <mergeCell ref="Y55:Y56"/>
    <mergeCell ref="T55:T56"/>
    <mergeCell ref="S55:S56"/>
    <mergeCell ref="R55:R56"/>
    <mergeCell ref="Q55:Q56"/>
    <mergeCell ref="F57:F58"/>
    <mergeCell ref="E57:E58"/>
    <mergeCell ref="D57:D58"/>
    <mergeCell ref="C57:C58"/>
    <mergeCell ref="B57:B58"/>
    <mergeCell ref="A57:A58"/>
    <mergeCell ref="L57:L58"/>
    <mergeCell ref="K57:K58"/>
    <mergeCell ref="J57:J58"/>
    <mergeCell ref="I57:I58"/>
    <mergeCell ref="H57:H58"/>
    <mergeCell ref="G57:G58"/>
    <mergeCell ref="P57:P58"/>
    <mergeCell ref="O57:O58"/>
    <mergeCell ref="N57:N58"/>
    <mergeCell ref="M57:M58"/>
    <mergeCell ref="A59:A60"/>
    <mergeCell ref="Y57:Y58"/>
    <mergeCell ref="T57:T58"/>
    <mergeCell ref="S57:S58"/>
    <mergeCell ref="R57:R58"/>
    <mergeCell ref="Q57:Q58"/>
    <mergeCell ref="G59:G60"/>
    <mergeCell ref="F59:F60"/>
    <mergeCell ref="E59:E60"/>
    <mergeCell ref="D59:D60"/>
    <mergeCell ref="C59:C60"/>
    <mergeCell ref="B59:B60"/>
    <mergeCell ref="M59:M60"/>
    <mergeCell ref="L59:L60"/>
    <mergeCell ref="K59:K60"/>
    <mergeCell ref="J59:J60"/>
    <mergeCell ref="I59:I60"/>
    <mergeCell ref="H59:H60"/>
    <mergeCell ref="P59:P60"/>
    <mergeCell ref="O59:O60"/>
    <mergeCell ref="N59:N60"/>
    <mergeCell ref="Y59:Y60"/>
    <mergeCell ref="T59:T60"/>
    <mergeCell ref="S59:S60"/>
    <mergeCell ref="R59:R60"/>
    <mergeCell ref="Q59:Q60"/>
    <mergeCell ref="D61:D62"/>
    <mergeCell ref="C61:C62"/>
    <mergeCell ref="B61:B62"/>
    <mergeCell ref="A61:A62"/>
    <mergeCell ref="J61:J62"/>
    <mergeCell ref="I61:I62"/>
    <mergeCell ref="H61:H62"/>
    <mergeCell ref="G61:G62"/>
    <mergeCell ref="F61:F62"/>
    <mergeCell ref="E61:E62"/>
    <mergeCell ref="P61:P62"/>
    <mergeCell ref="O61:O62"/>
    <mergeCell ref="N61:N62"/>
    <mergeCell ref="M61:M62"/>
    <mergeCell ref="L61:L62"/>
    <mergeCell ref="K61:K62"/>
    <mergeCell ref="Y61:Y62"/>
    <mergeCell ref="T61:T62"/>
    <mergeCell ref="S61:S62"/>
    <mergeCell ref="R61:R62"/>
    <mergeCell ref="Q61:Q62"/>
    <mergeCell ref="E63:E64"/>
    <mergeCell ref="P63:P64"/>
    <mergeCell ref="O63:O64"/>
    <mergeCell ref="N63:N64"/>
    <mergeCell ref="M63:M64"/>
    <mergeCell ref="D63:D64"/>
    <mergeCell ref="C63:C64"/>
    <mergeCell ref="B63:B64"/>
    <mergeCell ref="A63:A64"/>
    <mergeCell ref="K63:K64"/>
    <mergeCell ref="J63:J64"/>
    <mergeCell ref="I63:I64"/>
    <mergeCell ref="H63:H64"/>
    <mergeCell ref="G63:G64"/>
    <mergeCell ref="F63:F64"/>
    <mergeCell ref="L63:L64"/>
    <mergeCell ref="Y63:Y64"/>
    <mergeCell ref="T63:T64"/>
    <mergeCell ref="S63:S64"/>
    <mergeCell ref="R63:R64"/>
    <mergeCell ref="Q63:Q64"/>
    <mergeCell ref="F65:F66"/>
    <mergeCell ref="E65:E66"/>
    <mergeCell ref="D65:D66"/>
    <mergeCell ref="C65:C66"/>
    <mergeCell ref="B65:B66"/>
    <mergeCell ref="A65:A66"/>
    <mergeCell ref="L65:L66"/>
    <mergeCell ref="K65:K66"/>
    <mergeCell ref="J65:J66"/>
    <mergeCell ref="I65:I66"/>
    <mergeCell ref="H65:H66"/>
    <mergeCell ref="G65:G66"/>
    <mergeCell ref="P65:P66"/>
    <mergeCell ref="O65:O66"/>
    <mergeCell ref="N65:N66"/>
    <mergeCell ref="M65:M66"/>
    <mergeCell ref="A67:A68"/>
    <mergeCell ref="Y65:Y66"/>
    <mergeCell ref="T65:T66"/>
    <mergeCell ref="S65:S66"/>
    <mergeCell ref="R65:R66"/>
    <mergeCell ref="Q65:Q66"/>
    <mergeCell ref="G67:G68"/>
    <mergeCell ref="F67:F68"/>
    <mergeCell ref="E67:E68"/>
    <mergeCell ref="D67:D68"/>
    <mergeCell ref="C67:C68"/>
    <mergeCell ref="B67:B68"/>
    <mergeCell ref="M67:M68"/>
    <mergeCell ref="L67:L68"/>
    <mergeCell ref="K67:K68"/>
    <mergeCell ref="J67:J68"/>
    <mergeCell ref="I67:I68"/>
    <mergeCell ref="H67:H68"/>
    <mergeCell ref="P67:P68"/>
    <mergeCell ref="O67:O68"/>
    <mergeCell ref="N67:N68"/>
    <mergeCell ref="Y67:Y68"/>
    <mergeCell ref="T67:T68"/>
    <mergeCell ref="S67:S68"/>
    <mergeCell ref="R67:R68"/>
    <mergeCell ref="Q67:Q68"/>
    <mergeCell ref="D69:D70"/>
    <mergeCell ref="C69:C70"/>
    <mergeCell ref="B69:B70"/>
    <mergeCell ref="A69:A70"/>
    <mergeCell ref="J69:J70"/>
    <mergeCell ref="I69:I70"/>
    <mergeCell ref="H69:H70"/>
    <mergeCell ref="G69:G70"/>
    <mergeCell ref="F69:F70"/>
    <mergeCell ref="E69:E70"/>
    <mergeCell ref="P69:P70"/>
    <mergeCell ref="O69:O70"/>
    <mergeCell ref="N69:N70"/>
    <mergeCell ref="M69:M70"/>
    <mergeCell ref="L69:L70"/>
    <mergeCell ref="K69:K70"/>
    <mergeCell ref="Y69:Y70"/>
    <mergeCell ref="T69:T70"/>
    <mergeCell ref="S69:S70"/>
    <mergeCell ref="R69:R70"/>
    <mergeCell ref="Q69:Q70"/>
    <mergeCell ref="E71:E72"/>
    <mergeCell ref="P71:P72"/>
    <mergeCell ref="O71:O72"/>
    <mergeCell ref="N71:N72"/>
    <mergeCell ref="M71:M72"/>
    <mergeCell ref="D71:D72"/>
    <mergeCell ref="C71:C72"/>
    <mergeCell ref="B71:B72"/>
    <mergeCell ref="A71:A72"/>
    <mergeCell ref="K71:K72"/>
    <mergeCell ref="J71:J72"/>
    <mergeCell ref="I71:I72"/>
    <mergeCell ref="H71:H72"/>
    <mergeCell ref="G71:G72"/>
    <mergeCell ref="F71:F72"/>
    <mergeCell ref="L71:L72"/>
    <mergeCell ref="Y71:Y72"/>
    <mergeCell ref="T71:T72"/>
    <mergeCell ref="S71:S72"/>
    <mergeCell ref="R71:R72"/>
    <mergeCell ref="Q71:Q72"/>
    <mergeCell ref="F73:F74"/>
    <mergeCell ref="E73:E74"/>
    <mergeCell ref="D73:D74"/>
    <mergeCell ref="C73:C74"/>
    <mergeCell ref="B73:B74"/>
    <mergeCell ref="A73:A74"/>
    <mergeCell ref="L73:L74"/>
    <mergeCell ref="K73:K74"/>
    <mergeCell ref="J73:J74"/>
    <mergeCell ref="I73:I74"/>
    <mergeCell ref="H73:H74"/>
    <mergeCell ref="G73:G74"/>
    <mergeCell ref="P73:P74"/>
    <mergeCell ref="O73:O74"/>
    <mergeCell ref="N73:N74"/>
    <mergeCell ref="M73:M74"/>
    <mergeCell ref="A75:A76"/>
    <mergeCell ref="Y73:Y74"/>
    <mergeCell ref="T73:T74"/>
    <mergeCell ref="S73:S74"/>
    <mergeCell ref="R73:R74"/>
    <mergeCell ref="Q73:Q74"/>
    <mergeCell ref="G75:G76"/>
    <mergeCell ref="F75:F76"/>
    <mergeCell ref="E75:E76"/>
    <mergeCell ref="D75:D76"/>
    <mergeCell ref="C75:C76"/>
    <mergeCell ref="B75:B76"/>
    <mergeCell ref="M75:M76"/>
    <mergeCell ref="L75:L76"/>
    <mergeCell ref="K75:K76"/>
    <mergeCell ref="J75:J76"/>
    <mergeCell ref="I75:I76"/>
    <mergeCell ref="H75:H76"/>
    <mergeCell ref="P75:P76"/>
    <mergeCell ref="O75:O76"/>
    <mergeCell ref="N75:N76"/>
    <mergeCell ref="Y75:Y76"/>
    <mergeCell ref="T75:T76"/>
    <mergeCell ref="S75:S76"/>
    <mergeCell ref="R75:R76"/>
    <mergeCell ref="Q75:Q76"/>
    <mergeCell ref="D77:D78"/>
    <mergeCell ref="C77:C78"/>
    <mergeCell ref="B77:B78"/>
    <mergeCell ref="A77:A78"/>
    <mergeCell ref="J77:J78"/>
    <mergeCell ref="I77:I78"/>
    <mergeCell ref="H77:H78"/>
    <mergeCell ref="G77:G78"/>
    <mergeCell ref="F77:F78"/>
    <mergeCell ref="E77:E78"/>
    <mergeCell ref="P77:P78"/>
    <mergeCell ref="O77:O78"/>
    <mergeCell ref="N77:N78"/>
    <mergeCell ref="M77:M78"/>
    <mergeCell ref="L77:L78"/>
    <mergeCell ref="K77:K78"/>
    <mergeCell ref="Y77:Y78"/>
    <mergeCell ref="T77:T78"/>
    <mergeCell ref="S77:S78"/>
    <mergeCell ref="R77:R78"/>
    <mergeCell ref="Q77:Q78"/>
    <mergeCell ref="E79:E80"/>
    <mergeCell ref="P79:P80"/>
    <mergeCell ref="O79:O80"/>
    <mergeCell ref="N79:N80"/>
    <mergeCell ref="M79:M80"/>
    <mergeCell ref="D79:D80"/>
    <mergeCell ref="C79:C80"/>
    <mergeCell ref="B79:B80"/>
    <mergeCell ref="A79:A80"/>
    <mergeCell ref="K79:K80"/>
    <mergeCell ref="J79:J80"/>
    <mergeCell ref="I79:I80"/>
    <mergeCell ref="H79:H80"/>
    <mergeCell ref="G79:G80"/>
    <mergeCell ref="F79:F80"/>
    <mergeCell ref="L79:L80"/>
    <mergeCell ref="Y79:Y80"/>
    <mergeCell ref="T79:T80"/>
    <mergeCell ref="S79:S80"/>
    <mergeCell ref="R79:R80"/>
    <mergeCell ref="Q79:Q80"/>
    <mergeCell ref="F82:F83"/>
    <mergeCell ref="E82:E83"/>
    <mergeCell ref="D82:D83"/>
    <mergeCell ref="C82:C83"/>
    <mergeCell ref="B82:B83"/>
    <mergeCell ref="A82:A83"/>
    <mergeCell ref="L82:L83"/>
    <mergeCell ref="K82:K83"/>
    <mergeCell ref="J82:J83"/>
    <mergeCell ref="I82:I83"/>
    <mergeCell ref="H82:H83"/>
    <mergeCell ref="G82:G83"/>
    <mergeCell ref="P82:P83"/>
    <mergeCell ref="O82:O83"/>
    <mergeCell ref="N82:N83"/>
    <mergeCell ref="M82:M83"/>
    <mergeCell ref="A88:A89"/>
    <mergeCell ref="Y82:Y83"/>
    <mergeCell ref="T82:T83"/>
    <mergeCell ref="S82:S83"/>
    <mergeCell ref="R82:R83"/>
    <mergeCell ref="Q82:Q83"/>
    <mergeCell ref="G88:G89"/>
    <mergeCell ref="F88:F89"/>
    <mergeCell ref="E88:E89"/>
    <mergeCell ref="D88:D89"/>
    <mergeCell ref="C88:C89"/>
    <mergeCell ref="B88:B89"/>
    <mergeCell ref="M88:M89"/>
    <mergeCell ref="L88:L89"/>
    <mergeCell ref="K88:K89"/>
    <mergeCell ref="J88:J89"/>
    <mergeCell ref="I88:I89"/>
    <mergeCell ref="H88:H89"/>
    <mergeCell ref="P88:P89"/>
    <mergeCell ref="O88:O89"/>
    <mergeCell ref="N88:N89"/>
    <mergeCell ref="Y88:Y89"/>
    <mergeCell ref="T88:T89"/>
    <mergeCell ref="S88:S89"/>
    <mergeCell ref="R88:R89"/>
    <mergeCell ref="Q88:Q89"/>
    <mergeCell ref="D93:D94"/>
    <mergeCell ref="C93:C94"/>
    <mergeCell ref="B93:B94"/>
    <mergeCell ref="A93:A94"/>
    <mergeCell ref="J93:J94"/>
    <mergeCell ref="I93:I94"/>
    <mergeCell ref="H93:H94"/>
    <mergeCell ref="G93:G94"/>
    <mergeCell ref="F93:F94"/>
    <mergeCell ref="E93:E94"/>
    <mergeCell ref="P93:P94"/>
    <mergeCell ref="O93:O94"/>
    <mergeCell ref="N93:N94"/>
    <mergeCell ref="M93:M94"/>
    <mergeCell ref="L93:L94"/>
    <mergeCell ref="K93:K94"/>
    <mergeCell ref="Y93:Y94"/>
    <mergeCell ref="T93:T94"/>
    <mergeCell ref="S93:S94"/>
    <mergeCell ref="R93:R94"/>
    <mergeCell ref="Q93:Q94"/>
    <mergeCell ref="E95:E96"/>
    <mergeCell ref="P95:P96"/>
    <mergeCell ref="O95:O96"/>
    <mergeCell ref="N95:N96"/>
    <mergeCell ref="M95:M96"/>
    <mergeCell ref="D95:D96"/>
    <mergeCell ref="C95:C96"/>
    <mergeCell ref="B95:B96"/>
    <mergeCell ref="A95:A96"/>
    <mergeCell ref="K95:K96"/>
    <mergeCell ref="J95:J96"/>
    <mergeCell ref="I95:I96"/>
    <mergeCell ref="H95:H96"/>
    <mergeCell ref="G95:G96"/>
    <mergeCell ref="F95:F96"/>
    <mergeCell ref="L95:L96"/>
    <mergeCell ref="Y95:Y96"/>
    <mergeCell ref="T95:T96"/>
    <mergeCell ref="S95:S96"/>
    <mergeCell ref="R95:R96"/>
    <mergeCell ref="Q95:Q96"/>
    <mergeCell ref="F97:F98"/>
    <mergeCell ref="E97:E98"/>
    <mergeCell ref="D97:D98"/>
    <mergeCell ref="C97:C98"/>
    <mergeCell ref="B97:B98"/>
    <mergeCell ref="A97:A98"/>
    <mergeCell ref="L97:L98"/>
    <mergeCell ref="K97:K98"/>
    <mergeCell ref="J97:J98"/>
    <mergeCell ref="I97:I98"/>
    <mergeCell ref="H97:H98"/>
    <mergeCell ref="G97:G98"/>
    <mergeCell ref="P97:P98"/>
    <mergeCell ref="O97:O98"/>
    <mergeCell ref="N97:N98"/>
    <mergeCell ref="M97:M98"/>
    <mergeCell ref="A99:A100"/>
    <mergeCell ref="Y97:Y98"/>
    <mergeCell ref="T97:T98"/>
    <mergeCell ref="S97:S98"/>
    <mergeCell ref="R97:R98"/>
    <mergeCell ref="Q97:Q98"/>
    <mergeCell ref="G99:G100"/>
    <mergeCell ref="F99:F100"/>
    <mergeCell ref="E99:E100"/>
    <mergeCell ref="D99:D100"/>
    <mergeCell ref="C99:C100"/>
    <mergeCell ref="B99:B100"/>
    <mergeCell ref="M99:M100"/>
    <mergeCell ref="L99:L100"/>
    <mergeCell ref="K99:K100"/>
    <mergeCell ref="J99:J100"/>
    <mergeCell ref="I99:I100"/>
    <mergeCell ref="H99:H100"/>
    <mergeCell ref="P99:P100"/>
    <mergeCell ref="O99:O100"/>
    <mergeCell ref="N99:N100"/>
    <mergeCell ref="Y99:Y100"/>
    <mergeCell ref="T99:T100"/>
    <mergeCell ref="S99:S100"/>
    <mergeCell ref="R99:R100"/>
    <mergeCell ref="Q99:Q100"/>
    <mergeCell ref="D101:D102"/>
    <mergeCell ref="C101:C102"/>
    <mergeCell ref="B101:B102"/>
    <mergeCell ref="A101:A102"/>
    <mergeCell ref="J101:J102"/>
    <mergeCell ref="I101:I102"/>
    <mergeCell ref="H101:H102"/>
    <mergeCell ref="G101:G102"/>
    <mergeCell ref="F101:F102"/>
    <mergeCell ref="E101:E102"/>
    <mergeCell ref="P101:P102"/>
    <mergeCell ref="O101:O102"/>
    <mergeCell ref="N101:N102"/>
    <mergeCell ref="M101:M102"/>
    <mergeCell ref="L101:L102"/>
    <mergeCell ref="K101:K102"/>
    <mergeCell ref="Y101:Y102"/>
    <mergeCell ref="T101:T102"/>
    <mergeCell ref="S101:S102"/>
    <mergeCell ref="R101:R102"/>
    <mergeCell ref="Q101:Q102"/>
    <mergeCell ref="E103:E104"/>
    <mergeCell ref="P103:P104"/>
    <mergeCell ref="O103:O104"/>
    <mergeCell ref="N103:N104"/>
    <mergeCell ref="M103:M104"/>
    <mergeCell ref="D103:D104"/>
    <mergeCell ref="C103:C104"/>
    <mergeCell ref="B103:B104"/>
    <mergeCell ref="A103:A104"/>
    <mergeCell ref="K103:K104"/>
    <mergeCell ref="J103:J104"/>
    <mergeCell ref="I103:I104"/>
    <mergeCell ref="H103:H104"/>
    <mergeCell ref="G103:G104"/>
    <mergeCell ref="F103:F104"/>
    <mergeCell ref="L103:L104"/>
    <mergeCell ref="Y103:Y104"/>
    <mergeCell ref="T103:T104"/>
    <mergeCell ref="S103:S104"/>
    <mergeCell ref="R103:R104"/>
    <mergeCell ref="Q103:Q104"/>
    <mergeCell ref="F105:F106"/>
    <mergeCell ref="E105:E106"/>
    <mergeCell ref="D105:D106"/>
    <mergeCell ref="C105:C106"/>
    <mergeCell ref="B105:B106"/>
    <mergeCell ref="A105:A106"/>
    <mergeCell ref="L105:L106"/>
    <mergeCell ref="K105:K106"/>
    <mergeCell ref="J105:J106"/>
    <mergeCell ref="I105:I106"/>
    <mergeCell ref="H105:H106"/>
    <mergeCell ref="G105:G106"/>
    <mergeCell ref="P105:P106"/>
    <mergeCell ref="O105:O106"/>
    <mergeCell ref="N105:N106"/>
    <mergeCell ref="M105:M106"/>
    <mergeCell ref="A107:A108"/>
    <mergeCell ref="Y105:Y106"/>
    <mergeCell ref="T105:T106"/>
    <mergeCell ref="S105:S106"/>
    <mergeCell ref="R105:R106"/>
    <mergeCell ref="Q105:Q106"/>
    <mergeCell ref="G107:G108"/>
    <mergeCell ref="F107:F108"/>
    <mergeCell ref="E107:E108"/>
    <mergeCell ref="D107:D108"/>
    <mergeCell ref="C107:C108"/>
    <mergeCell ref="B107:B108"/>
    <mergeCell ref="M107:M108"/>
    <mergeCell ref="L107:L108"/>
    <mergeCell ref="K107:K108"/>
    <mergeCell ref="J107:J108"/>
    <mergeCell ref="I107:I108"/>
    <mergeCell ref="H107:H108"/>
    <mergeCell ref="P107:P108"/>
    <mergeCell ref="O107:O108"/>
    <mergeCell ref="N107:N108"/>
    <mergeCell ref="Y107:Y108"/>
    <mergeCell ref="T107:T108"/>
    <mergeCell ref="S107:S108"/>
    <mergeCell ref="R107:R108"/>
    <mergeCell ref="Q107:Q108"/>
    <mergeCell ref="D109:D110"/>
    <mergeCell ref="C109:C110"/>
    <mergeCell ref="B109:B110"/>
    <mergeCell ref="A109:A110"/>
    <mergeCell ref="J109:J110"/>
    <mergeCell ref="I109:I110"/>
    <mergeCell ref="H109:H110"/>
    <mergeCell ref="G109:G110"/>
    <mergeCell ref="F109:F110"/>
    <mergeCell ref="E109:E110"/>
    <mergeCell ref="P109:P110"/>
    <mergeCell ref="O109:O110"/>
    <mergeCell ref="N109:N110"/>
    <mergeCell ref="M109:M110"/>
    <mergeCell ref="L109:L110"/>
    <mergeCell ref="K109:K110"/>
    <mergeCell ref="Y109:Y110"/>
    <mergeCell ref="T109:T110"/>
    <mergeCell ref="S109:S110"/>
    <mergeCell ref="R109:R110"/>
    <mergeCell ref="Q109:Q110"/>
    <mergeCell ref="E111:E112"/>
    <mergeCell ref="P111:P112"/>
    <mergeCell ref="O111:O112"/>
    <mergeCell ref="N111:N112"/>
    <mergeCell ref="M111:M112"/>
    <mergeCell ref="D111:D112"/>
    <mergeCell ref="C111:C112"/>
    <mergeCell ref="B111:B112"/>
    <mergeCell ref="A111:A112"/>
    <mergeCell ref="K111:K112"/>
    <mergeCell ref="J111:J112"/>
    <mergeCell ref="I111:I112"/>
    <mergeCell ref="H111:H112"/>
    <mergeCell ref="G111:G112"/>
    <mergeCell ref="F111:F112"/>
    <mergeCell ref="L111:L112"/>
    <mergeCell ref="Y111:Y112"/>
    <mergeCell ref="T111:T112"/>
    <mergeCell ref="S111:S112"/>
    <mergeCell ref="R111:R112"/>
    <mergeCell ref="Q111:Q112"/>
    <mergeCell ref="F113:F114"/>
    <mergeCell ref="E113:E114"/>
    <mergeCell ref="D113:D114"/>
    <mergeCell ref="C113:C114"/>
    <mergeCell ref="B113:B114"/>
    <mergeCell ref="A113:A114"/>
    <mergeCell ref="L113:L114"/>
    <mergeCell ref="K113:K114"/>
    <mergeCell ref="J113:J114"/>
    <mergeCell ref="I113:I114"/>
    <mergeCell ref="H113:H114"/>
    <mergeCell ref="G113:G114"/>
    <mergeCell ref="P113:P114"/>
    <mergeCell ref="O113:O114"/>
    <mergeCell ref="N113:N114"/>
    <mergeCell ref="M113:M114"/>
    <mergeCell ref="A118:A119"/>
    <mergeCell ref="Y113:Y114"/>
    <mergeCell ref="T113:T114"/>
    <mergeCell ref="S113:S114"/>
    <mergeCell ref="R113:R114"/>
    <mergeCell ref="Q113:Q114"/>
    <mergeCell ref="G118:G119"/>
    <mergeCell ref="F118:F119"/>
    <mergeCell ref="E118:E119"/>
    <mergeCell ref="D118:D119"/>
    <mergeCell ref="C118:C119"/>
    <mergeCell ref="B118:B119"/>
    <mergeCell ref="M118:M119"/>
    <mergeCell ref="L118:L119"/>
    <mergeCell ref="K118:K119"/>
    <mergeCell ref="J118:J119"/>
    <mergeCell ref="I118:I119"/>
    <mergeCell ref="H118:H119"/>
    <mergeCell ref="P118:P119"/>
    <mergeCell ref="O118:O119"/>
    <mergeCell ref="N118:N119"/>
    <mergeCell ref="Y118:Y119"/>
    <mergeCell ref="T118:T119"/>
    <mergeCell ref="S118:S119"/>
    <mergeCell ref="R118:R119"/>
    <mergeCell ref="Q118:Q119"/>
    <mergeCell ref="D120:D121"/>
    <mergeCell ref="C120:C121"/>
    <mergeCell ref="B120:B121"/>
    <mergeCell ref="A120:A121"/>
    <mergeCell ref="J120:J121"/>
    <mergeCell ref="I120:I121"/>
    <mergeCell ref="H120:H121"/>
    <mergeCell ref="G120:G121"/>
    <mergeCell ref="F120:F121"/>
    <mergeCell ref="E120:E121"/>
    <mergeCell ref="P120:P121"/>
    <mergeCell ref="O120:O121"/>
    <mergeCell ref="N120:N121"/>
    <mergeCell ref="M120:M121"/>
    <mergeCell ref="L120:L121"/>
    <mergeCell ref="K120:K121"/>
    <mergeCell ref="Y120:Y121"/>
    <mergeCell ref="T120:T121"/>
    <mergeCell ref="S120:S121"/>
    <mergeCell ref="R120:R121"/>
    <mergeCell ref="Q120:Q121"/>
    <mergeCell ref="E122:E123"/>
    <mergeCell ref="P122:P123"/>
    <mergeCell ref="O122:O123"/>
    <mergeCell ref="N122:N123"/>
    <mergeCell ref="M122:M123"/>
    <mergeCell ref="D122:D123"/>
    <mergeCell ref="C122:C123"/>
    <mergeCell ref="B122:B123"/>
    <mergeCell ref="A122:A123"/>
    <mergeCell ref="K122:K123"/>
    <mergeCell ref="J122:J123"/>
    <mergeCell ref="I122:I123"/>
    <mergeCell ref="H122:H123"/>
    <mergeCell ref="G122:G123"/>
    <mergeCell ref="F122:F123"/>
    <mergeCell ref="L122:L123"/>
    <mergeCell ref="Y122:Y123"/>
    <mergeCell ref="T122:T123"/>
    <mergeCell ref="S122:S123"/>
    <mergeCell ref="R122:R123"/>
    <mergeCell ref="Q122:Q123"/>
    <mergeCell ref="F126:F127"/>
    <mergeCell ref="E126:E127"/>
    <mergeCell ref="D126:D127"/>
    <mergeCell ref="C126:C127"/>
    <mergeCell ref="B126:B127"/>
    <mergeCell ref="A126:A127"/>
    <mergeCell ref="L126:L127"/>
    <mergeCell ref="K126:K127"/>
    <mergeCell ref="J126:J127"/>
    <mergeCell ref="I126:I127"/>
    <mergeCell ref="H126:H127"/>
    <mergeCell ref="G126:G127"/>
    <mergeCell ref="P126:P127"/>
    <mergeCell ref="O126:O127"/>
    <mergeCell ref="N126:N127"/>
    <mergeCell ref="M126:M127"/>
    <mergeCell ref="A129:A130"/>
    <mergeCell ref="Y126:Y127"/>
    <mergeCell ref="T126:T127"/>
    <mergeCell ref="S126:S127"/>
    <mergeCell ref="R126:R127"/>
    <mergeCell ref="Q126:Q127"/>
    <mergeCell ref="G129:G130"/>
    <mergeCell ref="F129:F130"/>
    <mergeCell ref="E129:E130"/>
    <mergeCell ref="D129:D130"/>
    <mergeCell ref="C129:C130"/>
    <mergeCell ref="B129:B130"/>
    <mergeCell ref="M129:M130"/>
    <mergeCell ref="L129:L130"/>
    <mergeCell ref="K129:K130"/>
    <mergeCell ref="J129:J130"/>
    <mergeCell ref="I129:I130"/>
    <mergeCell ref="H129:H130"/>
    <mergeCell ref="P129:P130"/>
    <mergeCell ref="O129:O130"/>
    <mergeCell ref="N129:N130"/>
    <mergeCell ref="Y129:Y130"/>
    <mergeCell ref="T129:T130"/>
    <mergeCell ref="S129:S130"/>
    <mergeCell ref="R129:R130"/>
    <mergeCell ref="Q129:Q130"/>
    <mergeCell ref="D131:D132"/>
    <mergeCell ref="C131:C132"/>
    <mergeCell ref="B131:B132"/>
    <mergeCell ref="A131:A132"/>
    <mergeCell ref="J131:J132"/>
    <mergeCell ref="I131:I132"/>
    <mergeCell ref="H131:H132"/>
    <mergeCell ref="G131:G132"/>
    <mergeCell ref="F131:F132"/>
    <mergeCell ref="E131:E132"/>
    <mergeCell ref="P131:P132"/>
    <mergeCell ref="O131:O132"/>
    <mergeCell ref="N131:N132"/>
    <mergeCell ref="M131:M132"/>
    <mergeCell ref="L131:L132"/>
    <mergeCell ref="K131:K132"/>
    <mergeCell ref="Y131:Y132"/>
    <mergeCell ref="T131:T132"/>
    <mergeCell ref="S131:S132"/>
    <mergeCell ref="R131:R132"/>
    <mergeCell ref="Q131:Q132"/>
    <mergeCell ref="E133:E134"/>
    <mergeCell ref="P133:P134"/>
    <mergeCell ref="O133:O134"/>
    <mergeCell ref="N133:N134"/>
    <mergeCell ref="M133:M134"/>
    <mergeCell ref="D133:D134"/>
    <mergeCell ref="C133:C134"/>
    <mergeCell ref="B133:B134"/>
    <mergeCell ref="A133:A134"/>
    <mergeCell ref="K133:K134"/>
    <mergeCell ref="J133:J134"/>
    <mergeCell ref="I133:I134"/>
    <mergeCell ref="H133:H134"/>
    <mergeCell ref="G133:G134"/>
    <mergeCell ref="F133:F134"/>
    <mergeCell ref="L133:L134"/>
    <mergeCell ref="Y133:Y134"/>
    <mergeCell ref="T133:T134"/>
    <mergeCell ref="S133:S134"/>
    <mergeCell ref="R133:R134"/>
    <mergeCell ref="Q133:Q134"/>
    <mergeCell ref="F136:F137"/>
    <mergeCell ref="E136:E137"/>
    <mergeCell ref="D136:D137"/>
    <mergeCell ref="C136:C137"/>
    <mergeCell ref="B136:B137"/>
    <mergeCell ref="A136:A137"/>
    <mergeCell ref="L136:L137"/>
    <mergeCell ref="K136:K137"/>
    <mergeCell ref="J136:J137"/>
    <mergeCell ref="I136:I137"/>
    <mergeCell ref="H136:H137"/>
    <mergeCell ref="G136:G137"/>
    <mergeCell ref="P136:P137"/>
    <mergeCell ref="O136:O137"/>
    <mergeCell ref="N136:N137"/>
    <mergeCell ref="M136:M137"/>
    <mergeCell ref="A138:A139"/>
    <mergeCell ref="Y136:Y137"/>
    <mergeCell ref="T136:T137"/>
    <mergeCell ref="S136:S137"/>
    <mergeCell ref="R136:R137"/>
    <mergeCell ref="Q136:Q137"/>
    <mergeCell ref="G138:G139"/>
    <mergeCell ref="F138:F139"/>
    <mergeCell ref="E138:E139"/>
    <mergeCell ref="D138:D139"/>
    <mergeCell ref="C138:C139"/>
    <mergeCell ref="B138:B139"/>
    <mergeCell ref="M138:M139"/>
    <mergeCell ref="L138:L139"/>
    <mergeCell ref="K138:K139"/>
    <mergeCell ref="J138:J139"/>
    <mergeCell ref="I138:I139"/>
    <mergeCell ref="H138:H139"/>
    <mergeCell ref="P138:P139"/>
    <mergeCell ref="O138:O139"/>
    <mergeCell ref="N138:N139"/>
    <mergeCell ref="Y138:Y139"/>
    <mergeCell ref="T138:T139"/>
    <mergeCell ref="S138:S139"/>
    <mergeCell ref="R138:R139"/>
    <mergeCell ref="Q138:Q139"/>
    <mergeCell ref="D140:D141"/>
    <mergeCell ref="C140:C141"/>
    <mergeCell ref="B140:B141"/>
    <mergeCell ref="A140:A141"/>
    <mergeCell ref="J140:J141"/>
    <mergeCell ref="I140:I141"/>
    <mergeCell ref="H140:H141"/>
    <mergeCell ref="G140:G141"/>
    <mergeCell ref="F140:F141"/>
    <mergeCell ref="E140:E141"/>
    <mergeCell ref="P140:P141"/>
    <mergeCell ref="O140:O141"/>
    <mergeCell ref="N140:N141"/>
    <mergeCell ref="M140:M141"/>
    <mergeCell ref="L140:L141"/>
    <mergeCell ref="K140:K141"/>
    <mergeCell ref="Y140:Y141"/>
    <mergeCell ref="T140:T141"/>
    <mergeCell ref="S140:S141"/>
    <mergeCell ref="R140:R141"/>
    <mergeCell ref="Q140:Q141"/>
    <mergeCell ref="E143:E144"/>
    <mergeCell ref="P143:P144"/>
    <mergeCell ref="O143:O144"/>
    <mergeCell ref="N143:N144"/>
    <mergeCell ref="M143:M144"/>
    <mergeCell ref="D143:D144"/>
    <mergeCell ref="C143:C144"/>
    <mergeCell ref="B143:B144"/>
    <mergeCell ref="A143:A144"/>
    <mergeCell ref="K143:K144"/>
    <mergeCell ref="J143:J144"/>
    <mergeCell ref="I143:I144"/>
    <mergeCell ref="H143:H144"/>
    <mergeCell ref="G143:G144"/>
    <mergeCell ref="F143:F144"/>
    <mergeCell ref="L143:L144"/>
    <mergeCell ref="Y143:Y144"/>
    <mergeCell ref="T143:T144"/>
    <mergeCell ref="S143:S144"/>
    <mergeCell ref="R143:R144"/>
    <mergeCell ref="Q143:Q144"/>
    <mergeCell ref="F147:F148"/>
    <mergeCell ref="E147:E148"/>
    <mergeCell ref="D147:D148"/>
    <mergeCell ref="C147:C148"/>
    <mergeCell ref="B147:B148"/>
    <mergeCell ref="A147:A148"/>
    <mergeCell ref="L147:L148"/>
    <mergeCell ref="K147:K148"/>
    <mergeCell ref="J147:J148"/>
    <mergeCell ref="I147:I148"/>
    <mergeCell ref="H147:H148"/>
    <mergeCell ref="G147:G148"/>
    <mergeCell ref="P147:P148"/>
    <mergeCell ref="O147:O148"/>
    <mergeCell ref="N147:N148"/>
    <mergeCell ref="M147:M148"/>
    <mergeCell ref="A149:A150"/>
    <mergeCell ref="Y147:Y148"/>
    <mergeCell ref="T147:T148"/>
    <mergeCell ref="S147:S148"/>
    <mergeCell ref="R147:R148"/>
    <mergeCell ref="Q147:Q148"/>
    <mergeCell ref="G149:G150"/>
    <mergeCell ref="F149:F150"/>
    <mergeCell ref="E149:E150"/>
    <mergeCell ref="D149:D150"/>
    <mergeCell ref="C149:C150"/>
    <mergeCell ref="B149:B150"/>
    <mergeCell ref="M149:M150"/>
    <mergeCell ref="L149:L150"/>
    <mergeCell ref="K149:K150"/>
    <mergeCell ref="J149:J150"/>
    <mergeCell ref="I149:I150"/>
    <mergeCell ref="H149:H150"/>
    <mergeCell ref="P149:P150"/>
    <mergeCell ref="O149:O150"/>
    <mergeCell ref="N149:N150"/>
    <mergeCell ref="Y149:Y150"/>
    <mergeCell ref="T149:T150"/>
    <mergeCell ref="S149:S150"/>
    <mergeCell ref="R149:R150"/>
    <mergeCell ref="Q149:Q150"/>
    <mergeCell ref="D155:D156"/>
    <mergeCell ref="C155:C156"/>
    <mergeCell ref="B155:B156"/>
    <mergeCell ref="A155:A156"/>
    <mergeCell ref="J155:J156"/>
    <mergeCell ref="I155:I156"/>
    <mergeCell ref="H155:H156"/>
    <mergeCell ref="G155:G156"/>
    <mergeCell ref="F155:F156"/>
    <mergeCell ref="E155:E156"/>
    <mergeCell ref="P155:P156"/>
    <mergeCell ref="O155:O156"/>
    <mergeCell ref="N155:N156"/>
    <mergeCell ref="M155:M156"/>
    <mergeCell ref="L155:L156"/>
    <mergeCell ref="K155:K156"/>
    <mergeCell ref="Y155:Y156"/>
    <mergeCell ref="T155:T156"/>
    <mergeCell ref="S155:S156"/>
    <mergeCell ref="R155:R156"/>
    <mergeCell ref="Q155:Q156"/>
    <mergeCell ref="E158:E159"/>
    <mergeCell ref="P158:P159"/>
    <mergeCell ref="O158:O159"/>
    <mergeCell ref="N158:N159"/>
    <mergeCell ref="M158:M159"/>
    <mergeCell ref="D158:D159"/>
    <mergeCell ref="C158:C159"/>
    <mergeCell ref="B158:B159"/>
    <mergeCell ref="A158:A159"/>
    <mergeCell ref="K158:K159"/>
    <mergeCell ref="J158:J159"/>
    <mergeCell ref="I158:I159"/>
    <mergeCell ref="H158:H159"/>
    <mergeCell ref="G158:G159"/>
    <mergeCell ref="F158:F159"/>
    <mergeCell ref="L158:L159"/>
    <mergeCell ref="Y158:Y159"/>
    <mergeCell ref="T158:T159"/>
    <mergeCell ref="S158:S159"/>
    <mergeCell ref="R158:R159"/>
    <mergeCell ref="Q158:Q159"/>
    <mergeCell ref="F160:F161"/>
    <mergeCell ref="E160:E161"/>
    <mergeCell ref="D160:D161"/>
    <mergeCell ref="C160:C161"/>
    <mergeCell ref="B160:B161"/>
    <mergeCell ref="A160:A161"/>
    <mergeCell ref="L160:L161"/>
    <mergeCell ref="K160:K161"/>
    <mergeCell ref="J160:J161"/>
    <mergeCell ref="I160:I161"/>
    <mergeCell ref="H160:H161"/>
    <mergeCell ref="G160:G161"/>
    <mergeCell ref="P160:P161"/>
    <mergeCell ref="O160:O161"/>
    <mergeCell ref="N160:N161"/>
    <mergeCell ref="M160:M161"/>
    <mergeCell ref="A167:A168"/>
    <mergeCell ref="Y160:Y161"/>
    <mergeCell ref="T160:T161"/>
    <mergeCell ref="S160:S161"/>
    <mergeCell ref="R160:R161"/>
    <mergeCell ref="Q160:Q161"/>
    <mergeCell ref="G167:G168"/>
    <mergeCell ref="F167:F168"/>
    <mergeCell ref="E167:E168"/>
    <mergeCell ref="D167:D168"/>
    <mergeCell ref="C167:C168"/>
    <mergeCell ref="B167:B168"/>
    <mergeCell ref="M167:M168"/>
    <mergeCell ref="L167:L168"/>
    <mergeCell ref="K167:K168"/>
    <mergeCell ref="J167:J168"/>
    <mergeCell ref="I167:I168"/>
    <mergeCell ref="H167:H168"/>
    <mergeCell ref="P167:P168"/>
    <mergeCell ref="O167:O168"/>
    <mergeCell ref="N167:N168"/>
    <mergeCell ref="Y167:Y168"/>
    <mergeCell ref="T167:T168"/>
    <mergeCell ref="S167:S168"/>
    <mergeCell ref="R167:R168"/>
    <mergeCell ref="Q167:Q168"/>
    <mergeCell ref="D169:D170"/>
    <mergeCell ref="C169:C170"/>
    <mergeCell ref="B169:B170"/>
    <mergeCell ref="A169:A170"/>
    <mergeCell ref="J169:J170"/>
    <mergeCell ref="I169:I170"/>
    <mergeCell ref="H169:H170"/>
    <mergeCell ref="G169:G170"/>
    <mergeCell ref="F169:F170"/>
    <mergeCell ref="E169:E170"/>
    <mergeCell ref="P169:P170"/>
    <mergeCell ref="O169:O170"/>
    <mergeCell ref="N169:N170"/>
    <mergeCell ref="M169:M170"/>
    <mergeCell ref="L169:L170"/>
    <mergeCell ref="K169:K170"/>
    <mergeCell ref="Y169:Y170"/>
    <mergeCell ref="T169:T170"/>
    <mergeCell ref="S169:S170"/>
    <mergeCell ref="R169:R170"/>
    <mergeCell ref="Q169:Q170"/>
    <mergeCell ref="E171:E172"/>
    <mergeCell ref="P171:P172"/>
    <mergeCell ref="O171:O172"/>
    <mergeCell ref="N171:N172"/>
    <mergeCell ref="M171:M172"/>
    <mergeCell ref="D171:D172"/>
    <mergeCell ref="C171:C172"/>
    <mergeCell ref="B171:B172"/>
    <mergeCell ref="A171:A172"/>
    <mergeCell ref="K171:K172"/>
    <mergeCell ref="J171:J172"/>
    <mergeCell ref="I171:I172"/>
    <mergeCell ref="H171:H172"/>
    <mergeCell ref="G171:G172"/>
    <mergeCell ref="F171:F172"/>
    <mergeCell ref="L171:L172"/>
    <mergeCell ref="Y171:Y172"/>
    <mergeCell ref="T171:T172"/>
    <mergeCell ref="S171:S172"/>
    <mergeCell ref="R171:R172"/>
    <mergeCell ref="Q171:Q172"/>
    <mergeCell ref="F173:F174"/>
    <mergeCell ref="E173:E174"/>
    <mergeCell ref="D173:D174"/>
    <mergeCell ref="C173:C174"/>
    <mergeCell ref="B173:B174"/>
    <mergeCell ref="A173:A174"/>
    <mergeCell ref="L173:L174"/>
    <mergeCell ref="K173:K174"/>
    <mergeCell ref="J173:J174"/>
    <mergeCell ref="I173:I174"/>
    <mergeCell ref="H173:H174"/>
    <mergeCell ref="G173:G174"/>
    <mergeCell ref="P173:P174"/>
    <mergeCell ref="O173:O174"/>
    <mergeCell ref="N173:N174"/>
    <mergeCell ref="M173:M174"/>
    <mergeCell ref="A175:A176"/>
    <mergeCell ref="Y173:Y174"/>
    <mergeCell ref="T173:T174"/>
    <mergeCell ref="S173:S174"/>
    <mergeCell ref="R173:R174"/>
    <mergeCell ref="Q173:Q174"/>
    <mergeCell ref="G175:G176"/>
    <mergeCell ref="F175:F176"/>
    <mergeCell ref="E175:E176"/>
    <mergeCell ref="D175:D176"/>
    <mergeCell ref="C175:C176"/>
    <mergeCell ref="B175:B176"/>
    <mergeCell ref="M175:M176"/>
    <mergeCell ref="L175:L176"/>
    <mergeCell ref="K175:K176"/>
    <mergeCell ref="J175:J176"/>
    <mergeCell ref="I175:I176"/>
    <mergeCell ref="H175:H176"/>
    <mergeCell ref="P175:P176"/>
    <mergeCell ref="O175:O176"/>
    <mergeCell ref="N175:N176"/>
    <mergeCell ref="Y175:Y176"/>
    <mergeCell ref="T175:T176"/>
    <mergeCell ref="S175:S176"/>
    <mergeCell ref="R175:R176"/>
    <mergeCell ref="Q175:Q176"/>
    <mergeCell ref="D177:D178"/>
    <mergeCell ref="C177:C178"/>
    <mergeCell ref="B177:B178"/>
    <mergeCell ref="A177:A178"/>
    <mergeCell ref="J177:J178"/>
    <mergeCell ref="I177:I178"/>
    <mergeCell ref="H177:H178"/>
    <mergeCell ref="G177:G178"/>
    <mergeCell ref="F177:F178"/>
    <mergeCell ref="E177:E178"/>
    <mergeCell ref="P177:P178"/>
    <mergeCell ref="O177:O178"/>
    <mergeCell ref="N177:N178"/>
    <mergeCell ref="M177:M178"/>
    <mergeCell ref="L177:L178"/>
    <mergeCell ref="K177:K178"/>
    <mergeCell ref="Y177:Y178"/>
    <mergeCell ref="T177:T178"/>
    <mergeCell ref="S177:S178"/>
    <mergeCell ref="R177:R178"/>
    <mergeCell ref="Q177:Q178"/>
    <mergeCell ref="E179:E180"/>
    <mergeCell ref="P179:P180"/>
    <mergeCell ref="O179:O180"/>
    <mergeCell ref="N179:N180"/>
    <mergeCell ref="M179:M180"/>
    <mergeCell ref="D179:D180"/>
    <mergeCell ref="C179:C180"/>
    <mergeCell ref="B179:B180"/>
    <mergeCell ref="A179:A180"/>
    <mergeCell ref="K179:K180"/>
    <mergeCell ref="J179:J180"/>
    <mergeCell ref="I179:I180"/>
    <mergeCell ref="H179:H180"/>
    <mergeCell ref="G179:G180"/>
    <mergeCell ref="F179:F180"/>
    <mergeCell ref="L179:L180"/>
    <mergeCell ref="Y179:Y180"/>
    <mergeCell ref="T179:T180"/>
    <mergeCell ref="S179:S180"/>
    <mergeCell ref="R179:R180"/>
    <mergeCell ref="Q179:Q180"/>
    <mergeCell ref="F181:F182"/>
    <mergeCell ref="E181:E182"/>
    <mergeCell ref="D181:D182"/>
    <mergeCell ref="C181:C182"/>
    <mergeCell ref="B181:B182"/>
    <mergeCell ref="A181:A182"/>
    <mergeCell ref="L181:L182"/>
    <mergeCell ref="K181:K182"/>
    <mergeCell ref="J181:J182"/>
    <mergeCell ref="I181:I182"/>
    <mergeCell ref="H181:H182"/>
    <mergeCell ref="G181:G182"/>
    <mergeCell ref="P181:P182"/>
    <mergeCell ref="O181:O182"/>
    <mergeCell ref="N181:N182"/>
    <mergeCell ref="M181:M182"/>
    <mergeCell ref="A189:A190"/>
    <mergeCell ref="Y181:Y182"/>
    <mergeCell ref="T181:T182"/>
    <mergeCell ref="S181:S182"/>
    <mergeCell ref="R181:R182"/>
    <mergeCell ref="Q181:Q182"/>
    <mergeCell ref="G189:G190"/>
    <mergeCell ref="F189:F190"/>
    <mergeCell ref="E189:E190"/>
    <mergeCell ref="D189:D190"/>
    <mergeCell ref="C189:C190"/>
    <mergeCell ref="B189:B190"/>
    <mergeCell ref="M189:M190"/>
    <mergeCell ref="L189:L190"/>
    <mergeCell ref="K189:K190"/>
    <mergeCell ref="J189:J190"/>
    <mergeCell ref="I189:I190"/>
    <mergeCell ref="H189:H190"/>
    <mergeCell ref="P189:P190"/>
    <mergeCell ref="O189:O190"/>
    <mergeCell ref="N189:N190"/>
    <mergeCell ref="Y189:Y190"/>
    <mergeCell ref="T189:T190"/>
    <mergeCell ref="S189:S190"/>
    <mergeCell ref="R189:R190"/>
    <mergeCell ref="Q189:Q190"/>
    <mergeCell ref="D191:D192"/>
    <mergeCell ref="C191:C192"/>
    <mergeCell ref="B191:B192"/>
    <mergeCell ref="A191:A192"/>
    <mergeCell ref="J191:J192"/>
    <mergeCell ref="I191:I192"/>
    <mergeCell ref="H191:H192"/>
    <mergeCell ref="G191:G192"/>
    <mergeCell ref="F191:F192"/>
    <mergeCell ref="E191:E192"/>
    <mergeCell ref="P191:P192"/>
    <mergeCell ref="O191:O192"/>
    <mergeCell ref="N191:N192"/>
    <mergeCell ref="M191:M192"/>
    <mergeCell ref="L191:L192"/>
    <mergeCell ref="K191:K192"/>
    <mergeCell ref="Y191:Y192"/>
    <mergeCell ref="T191:T192"/>
    <mergeCell ref="S191:S192"/>
    <mergeCell ref="R191:R192"/>
    <mergeCell ref="Q191:Q192"/>
    <mergeCell ref="E193:E194"/>
    <mergeCell ref="P193:P194"/>
    <mergeCell ref="O193:O194"/>
    <mergeCell ref="N193:N194"/>
    <mergeCell ref="M193:M194"/>
    <mergeCell ref="D193:D194"/>
    <mergeCell ref="C193:C194"/>
    <mergeCell ref="B193:B194"/>
    <mergeCell ref="A193:A194"/>
    <mergeCell ref="K193:K194"/>
    <mergeCell ref="J193:J194"/>
    <mergeCell ref="I193:I194"/>
    <mergeCell ref="H193:H194"/>
    <mergeCell ref="G193:G194"/>
    <mergeCell ref="F193:F194"/>
    <mergeCell ref="L193:L194"/>
    <mergeCell ref="Y193:Y194"/>
    <mergeCell ref="T193:T194"/>
    <mergeCell ref="S193:S194"/>
    <mergeCell ref="R193:R194"/>
    <mergeCell ref="Q193:Q194"/>
    <mergeCell ref="F195:F196"/>
    <mergeCell ref="E195:E196"/>
    <mergeCell ref="D195:D196"/>
    <mergeCell ref="C195:C196"/>
    <mergeCell ref="B195:B196"/>
    <mergeCell ref="A195:A196"/>
    <mergeCell ref="L195:L196"/>
    <mergeCell ref="K195:K196"/>
    <mergeCell ref="J195:J196"/>
    <mergeCell ref="I195:I196"/>
    <mergeCell ref="H195:H196"/>
    <mergeCell ref="G195:G196"/>
    <mergeCell ref="P195:P196"/>
    <mergeCell ref="O195:O196"/>
    <mergeCell ref="N195:N196"/>
    <mergeCell ref="M195:M196"/>
    <mergeCell ref="A197:A198"/>
    <mergeCell ref="Y195:Y196"/>
    <mergeCell ref="T195:T196"/>
    <mergeCell ref="S195:S196"/>
    <mergeCell ref="R195:R196"/>
    <mergeCell ref="Q195:Q196"/>
    <mergeCell ref="G197:G198"/>
    <mergeCell ref="F197:F198"/>
    <mergeCell ref="E197:E198"/>
    <mergeCell ref="D197:D198"/>
    <mergeCell ref="C197:C198"/>
    <mergeCell ref="B197:B198"/>
    <mergeCell ref="M197:M198"/>
    <mergeCell ref="L197:L198"/>
    <mergeCell ref="K197:K198"/>
    <mergeCell ref="J197:J198"/>
    <mergeCell ref="I197:I198"/>
    <mergeCell ref="H197:H198"/>
    <mergeCell ref="P197:P198"/>
    <mergeCell ref="O197:O198"/>
    <mergeCell ref="N197:N198"/>
    <mergeCell ref="Y197:Y198"/>
    <mergeCell ref="T197:T198"/>
    <mergeCell ref="S197:S198"/>
    <mergeCell ref="R197:R198"/>
    <mergeCell ref="Q197:Q198"/>
    <mergeCell ref="D199:D200"/>
    <mergeCell ref="C199:C200"/>
    <mergeCell ref="B199:B200"/>
    <mergeCell ref="A199:A200"/>
    <mergeCell ref="J199:J200"/>
    <mergeCell ref="I199:I200"/>
    <mergeCell ref="H199:H200"/>
    <mergeCell ref="G199:G200"/>
    <mergeCell ref="F199:F200"/>
    <mergeCell ref="E199:E200"/>
    <mergeCell ref="P199:P200"/>
    <mergeCell ref="O199:O200"/>
    <mergeCell ref="N199:N200"/>
    <mergeCell ref="M199:M200"/>
    <mergeCell ref="L199:L200"/>
    <mergeCell ref="K199:K200"/>
    <mergeCell ref="Y199:Y200"/>
    <mergeCell ref="T199:T200"/>
    <mergeCell ref="S199:S200"/>
    <mergeCell ref="R199:R200"/>
    <mergeCell ref="Q199:Q200"/>
    <mergeCell ref="E201:E202"/>
    <mergeCell ref="P201:P202"/>
    <mergeCell ref="O201:O202"/>
    <mergeCell ref="N201:N202"/>
    <mergeCell ref="M201:M202"/>
    <mergeCell ref="D201:D202"/>
    <mergeCell ref="C201:C202"/>
    <mergeCell ref="B201:B202"/>
    <mergeCell ref="A201:A202"/>
    <mergeCell ref="K201:K202"/>
    <mergeCell ref="J201:J202"/>
    <mergeCell ref="I201:I202"/>
    <mergeCell ref="H201:H202"/>
    <mergeCell ref="G201:G202"/>
    <mergeCell ref="F201:F202"/>
    <mergeCell ref="L201:L202"/>
    <mergeCell ref="Y201:Y202"/>
    <mergeCell ref="T201:T202"/>
    <mergeCell ref="S201:S202"/>
    <mergeCell ref="R201:R202"/>
    <mergeCell ref="Q201:Q202"/>
    <mergeCell ref="F203:F204"/>
    <mergeCell ref="E203:E204"/>
    <mergeCell ref="D203:D204"/>
    <mergeCell ref="C203:C204"/>
    <mergeCell ref="B203:B204"/>
    <mergeCell ref="A203:A204"/>
    <mergeCell ref="L203:L204"/>
    <mergeCell ref="K203:K204"/>
    <mergeCell ref="J203:J204"/>
    <mergeCell ref="I203:I204"/>
    <mergeCell ref="H203:H204"/>
    <mergeCell ref="G203:G204"/>
    <mergeCell ref="P203:P204"/>
    <mergeCell ref="O203:O204"/>
    <mergeCell ref="N203:N204"/>
    <mergeCell ref="M203:M204"/>
    <mergeCell ref="A205:A206"/>
    <mergeCell ref="Y203:Y204"/>
    <mergeCell ref="T203:T204"/>
    <mergeCell ref="S203:S204"/>
    <mergeCell ref="R203:R204"/>
    <mergeCell ref="Q203:Q204"/>
    <mergeCell ref="G205:G206"/>
    <mergeCell ref="F205:F206"/>
    <mergeCell ref="E205:E206"/>
    <mergeCell ref="D205:D206"/>
    <mergeCell ref="C205:C206"/>
    <mergeCell ref="B205:B206"/>
    <mergeCell ref="M205:M206"/>
    <mergeCell ref="L205:L206"/>
    <mergeCell ref="K205:K206"/>
    <mergeCell ref="J205:J206"/>
    <mergeCell ref="I205:I206"/>
    <mergeCell ref="H205:H206"/>
    <mergeCell ref="P205:P206"/>
    <mergeCell ref="O205:O206"/>
    <mergeCell ref="N205:N206"/>
    <mergeCell ref="Y205:Y206"/>
    <mergeCell ref="T205:T206"/>
    <mergeCell ref="S205:S206"/>
    <mergeCell ref="R205:R206"/>
    <mergeCell ref="Q205:Q206"/>
    <mergeCell ref="D207:D208"/>
    <mergeCell ref="C207:C208"/>
    <mergeCell ref="B207:B208"/>
    <mergeCell ref="A207:A208"/>
    <mergeCell ref="J207:J208"/>
    <mergeCell ref="I207:I208"/>
    <mergeCell ref="H207:H208"/>
    <mergeCell ref="G207:G208"/>
    <mergeCell ref="F207:F208"/>
    <mergeCell ref="E207:E208"/>
    <mergeCell ref="P207:P208"/>
    <mergeCell ref="O207:O208"/>
    <mergeCell ref="N207:N208"/>
    <mergeCell ref="M207:M208"/>
    <mergeCell ref="L207:L208"/>
    <mergeCell ref="K207:K208"/>
    <mergeCell ref="Y207:Y208"/>
    <mergeCell ref="T207:T208"/>
    <mergeCell ref="S207:S208"/>
    <mergeCell ref="R207:R208"/>
    <mergeCell ref="Q207:Q208"/>
    <mergeCell ref="E209:E210"/>
    <mergeCell ref="P209:P210"/>
    <mergeCell ref="O209:O210"/>
    <mergeCell ref="N209:N210"/>
    <mergeCell ref="M209:M210"/>
    <mergeCell ref="D209:D210"/>
    <mergeCell ref="C209:C210"/>
    <mergeCell ref="B209:B210"/>
    <mergeCell ref="A209:A210"/>
    <mergeCell ref="K209:K210"/>
    <mergeCell ref="J209:J210"/>
    <mergeCell ref="I209:I210"/>
    <mergeCell ref="H209:H210"/>
    <mergeCell ref="G209:G210"/>
    <mergeCell ref="F209:F210"/>
    <mergeCell ref="L209:L210"/>
    <mergeCell ref="Y209:Y210"/>
    <mergeCell ref="T209:T210"/>
    <mergeCell ref="S209:S210"/>
    <mergeCell ref="R209:R210"/>
    <mergeCell ref="Q209:Q210"/>
    <mergeCell ref="F211:F212"/>
    <mergeCell ref="E211:E212"/>
    <mergeCell ref="D211:D212"/>
    <mergeCell ref="C211:C212"/>
    <mergeCell ref="B211:B212"/>
    <mergeCell ref="A211:A212"/>
    <mergeCell ref="L211:L212"/>
    <mergeCell ref="K211:K212"/>
    <mergeCell ref="J211:J212"/>
    <mergeCell ref="I211:I212"/>
    <mergeCell ref="H211:H212"/>
    <mergeCell ref="G211:G212"/>
    <mergeCell ref="P211:P212"/>
    <mergeCell ref="O211:O212"/>
    <mergeCell ref="N211:N212"/>
    <mergeCell ref="M211:M212"/>
    <mergeCell ref="A213:A214"/>
    <mergeCell ref="Y211:Y212"/>
    <mergeCell ref="T211:T212"/>
    <mergeCell ref="S211:S212"/>
    <mergeCell ref="R211:R212"/>
    <mergeCell ref="Q211:Q212"/>
    <mergeCell ref="G213:G214"/>
    <mergeCell ref="F213:F214"/>
    <mergeCell ref="E213:E214"/>
    <mergeCell ref="D213:D214"/>
    <mergeCell ref="C213:C214"/>
    <mergeCell ref="B213:B214"/>
    <mergeCell ref="M213:M214"/>
    <mergeCell ref="L213:L214"/>
    <mergeCell ref="K213:K214"/>
    <mergeCell ref="J213:J214"/>
    <mergeCell ref="I213:I214"/>
    <mergeCell ref="H213:H214"/>
    <mergeCell ref="P213:P214"/>
    <mergeCell ref="O213:O214"/>
    <mergeCell ref="N213:N214"/>
    <mergeCell ref="Y213:Y214"/>
    <mergeCell ref="T213:T214"/>
    <mergeCell ref="S213:S214"/>
    <mergeCell ref="R213:R214"/>
    <mergeCell ref="Q213:Q214"/>
    <mergeCell ref="D215:D216"/>
    <mergeCell ref="C215:C216"/>
    <mergeCell ref="B215:B216"/>
    <mergeCell ref="A215:A216"/>
    <mergeCell ref="J215:J216"/>
    <mergeCell ref="I215:I216"/>
    <mergeCell ref="H215:H216"/>
    <mergeCell ref="G215:G216"/>
    <mergeCell ref="F215:F216"/>
    <mergeCell ref="E215:E216"/>
    <mergeCell ref="P215:P216"/>
    <mergeCell ref="O215:O216"/>
    <mergeCell ref="N215:N216"/>
    <mergeCell ref="M215:M216"/>
    <mergeCell ref="L215:L216"/>
    <mergeCell ref="K215:K216"/>
    <mergeCell ref="Y215:Y216"/>
    <mergeCell ref="T215:T216"/>
    <mergeCell ref="S215:S216"/>
    <mergeCell ref="R215:R216"/>
    <mergeCell ref="Q215:Q216"/>
    <mergeCell ref="E217:E218"/>
    <mergeCell ref="P217:P218"/>
    <mergeCell ref="O217:O218"/>
    <mergeCell ref="N217:N218"/>
    <mergeCell ref="M217:M218"/>
    <mergeCell ref="D217:D218"/>
    <mergeCell ref="C217:C218"/>
    <mergeCell ref="B217:B218"/>
    <mergeCell ref="A217:A218"/>
    <mergeCell ref="K217:K218"/>
    <mergeCell ref="J217:J218"/>
    <mergeCell ref="I217:I218"/>
    <mergeCell ref="H217:H218"/>
    <mergeCell ref="G217:G218"/>
    <mergeCell ref="F217:F218"/>
    <mergeCell ref="L217:L218"/>
    <mergeCell ref="Y217:Y218"/>
    <mergeCell ref="T217:T218"/>
    <mergeCell ref="S217:S218"/>
    <mergeCell ref="R217:R218"/>
    <mergeCell ref="Q217:Q218"/>
    <mergeCell ref="F219:F220"/>
    <mergeCell ref="E219:E220"/>
    <mergeCell ref="D219:D220"/>
    <mergeCell ref="C219:C220"/>
    <mergeCell ref="B219:B220"/>
    <mergeCell ref="A219:A220"/>
    <mergeCell ref="L219:L220"/>
    <mergeCell ref="K219:K220"/>
    <mergeCell ref="J219:J220"/>
    <mergeCell ref="I219:I220"/>
    <mergeCell ref="H219:H220"/>
    <mergeCell ref="G219:G220"/>
    <mergeCell ref="P219:P220"/>
    <mergeCell ref="O219:O220"/>
    <mergeCell ref="N219:N220"/>
    <mergeCell ref="M219:M220"/>
    <mergeCell ref="A221:A222"/>
    <mergeCell ref="Y219:Y220"/>
    <mergeCell ref="T219:T220"/>
    <mergeCell ref="S219:S220"/>
    <mergeCell ref="R219:R220"/>
    <mergeCell ref="Q219:Q220"/>
    <mergeCell ref="G221:G222"/>
    <mergeCell ref="F221:F222"/>
    <mergeCell ref="E221:E222"/>
    <mergeCell ref="D221:D222"/>
    <mergeCell ref="C221:C222"/>
    <mergeCell ref="B221:B222"/>
    <mergeCell ref="M221:M222"/>
    <mergeCell ref="L221:L222"/>
    <mergeCell ref="K221:K222"/>
    <mergeCell ref="J221:J222"/>
    <mergeCell ref="I221:I222"/>
    <mergeCell ref="H221:H222"/>
    <mergeCell ref="P221:P222"/>
    <mergeCell ref="O221:O222"/>
    <mergeCell ref="N221:N222"/>
    <mergeCell ref="Y221:Y222"/>
    <mergeCell ref="T221:T222"/>
    <mergeCell ref="S221:S222"/>
    <mergeCell ref="R221:R222"/>
    <mergeCell ref="Q221:Q222"/>
    <mergeCell ref="D223:D224"/>
    <mergeCell ref="C223:C224"/>
    <mergeCell ref="B223:B224"/>
    <mergeCell ref="A223:A224"/>
    <mergeCell ref="J223:J224"/>
    <mergeCell ref="I223:I224"/>
    <mergeCell ref="H223:H224"/>
    <mergeCell ref="G223:G224"/>
    <mergeCell ref="F223:F224"/>
    <mergeCell ref="E223:E224"/>
    <mergeCell ref="P223:P224"/>
    <mergeCell ref="O223:O224"/>
    <mergeCell ref="N223:N224"/>
    <mergeCell ref="M223:M224"/>
    <mergeCell ref="L223:L224"/>
    <mergeCell ref="K223:K224"/>
    <mergeCell ref="Y223:Y224"/>
    <mergeCell ref="T223:T224"/>
    <mergeCell ref="S223:S224"/>
    <mergeCell ref="R223:R224"/>
    <mergeCell ref="Q223:Q224"/>
    <mergeCell ref="E226:E227"/>
    <mergeCell ref="P226:P227"/>
    <mergeCell ref="O226:O227"/>
    <mergeCell ref="N226:N227"/>
    <mergeCell ref="M226:M227"/>
    <mergeCell ref="D226:D227"/>
    <mergeCell ref="C226:C227"/>
    <mergeCell ref="B226:B227"/>
    <mergeCell ref="A226:A227"/>
    <mergeCell ref="K226:K227"/>
    <mergeCell ref="J226:J227"/>
    <mergeCell ref="I226:I227"/>
    <mergeCell ref="H226:H227"/>
    <mergeCell ref="G226:G227"/>
    <mergeCell ref="F226:F227"/>
    <mergeCell ref="L226:L227"/>
    <mergeCell ref="Y226:Y227"/>
    <mergeCell ref="T226:T227"/>
    <mergeCell ref="S226:S227"/>
    <mergeCell ref="R226:R227"/>
    <mergeCell ref="Q226:Q227"/>
    <mergeCell ref="F228:F229"/>
    <mergeCell ref="E228:E229"/>
    <mergeCell ref="D228:D229"/>
    <mergeCell ref="C228:C229"/>
    <mergeCell ref="B228:B229"/>
    <mergeCell ref="A228:A229"/>
    <mergeCell ref="L228:L229"/>
    <mergeCell ref="K228:K229"/>
    <mergeCell ref="J228:J229"/>
    <mergeCell ref="I228:I229"/>
    <mergeCell ref="H228:H229"/>
    <mergeCell ref="G228:G229"/>
    <mergeCell ref="P228:P229"/>
    <mergeCell ref="O228:O229"/>
    <mergeCell ref="N228:N229"/>
    <mergeCell ref="M228:M229"/>
    <mergeCell ref="A230:A231"/>
    <mergeCell ref="Y228:Y229"/>
    <mergeCell ref="T228:T229"/>
    <mergeCell ref="S228:S229"/>
    <mergeCell ref="R228:R229"/>
    <mergeCell ref="Q228:Q229"/>
    <mergeCell ref="G230:G231"/>
    <mergeCell ref="F230:F231"/>
    <mergeCell ref="E230:E231"/>
    <mergeCell ref="D230:D231"/>
    <mergeCell ref="C230:C231"/>
    <mergeCell ref="B230:B231"/>
    <mergeCell ref="M230:M231"/>
    <mergeCell ref="L230:L231"/>
    <mergeCell ref="K230:K231"/>
    <mergeCell ref="J230:J231"/>
    <mergeCell ref="I230:I231"/>
    <mergeCell ref="H230:H231"/>
    <mergeCell ref="P230:P231"/>
    <mergeCell ref="O230:O231"/>
    <mergeCell ref="N230:N231"/>
    <mergeCell ref="Y230:Y231"/>
    <mergeCell ref="T230:T231"/>
    <mergeCell ref="S230:S231"/>
    <mergeCell ref="R230:R231"/>
    <mergeCell ref="Q230:Q231"/>
    <mergeCell ref="D232:D233"/>
    <mergeCell ref="C232:C233"/>
    <mergeCell ref="B232:B233"/>
    <mergeCell ref="A232:A233"/>
    <mergeCell ref="J232:J233"/>
    <mergeCell ref="I232:I233"/>
    <mergeCell ref="H232:H233"/>
    <mergeCell ref="G232:G233"/>
    <mergeCell ref="F232:F233"/>
    <mergeCell ref="E232:E233"/>
    <mergeCell ref="P232:P233"/>
    <mergeCell ref="O232:O233"/>
    <mergeCell ref="N232:N233"/>
    <mergeCell ref="M232:M233"/>
    <mergeCell ref="L232:L233"/>
    <mergeCell ref="K232:K233"/>
    <mergeCell ref="Y232:Y233"/>
    <mergeCell ref="T232:T233"/>
    <mergeCell ref="S232:S233"/>
    <mergeCell ref="R232:R233"/>
    <mergeCell ref="Q232:Q233"/>
    <mergeCell ref="E234:E235"/>
    <mergeCell ref="P234:P235"/>
    <mergeCell ref="O234:O235"/>
    <mergeCell ref="N234:N235"/>
    <mergeCell ref="M234:M235"/>
    <mergeCell ref="D234:D235"/>
    <mergeCell ref="C234:C235"/>
    <mergeCell ref="B234:B235"/>
    <mergeCell ref="A234:A235"/>
    <mergeCell ref="K234:K235"/>
    <mergeCell ref="J234:J235"/>
    <mergeCell ref="I234:I235"/>
    <mergeCell ref="H234:H235"/>
    <mergeCell ref="G234:G235"/>
    <mergeCell ref="F234:F235"/>
    <mergeCell ref="L234:L235"/>
    <mergeCell ref="Y234:Y235"/>
    <mergeCell ref="T234:T235"/>
    <mergeCell ref="S234:S235"/>
    <mergeCell ref="R234:R235"/>
    <mergeCell ref="Q234:Q235"/>
    <mergeCell ref="F237:F238"/>
    <mergeCell ref="E237:E238"/>
    <mergeCell ref="D237:D238"/>
    <mergeCell ref="C237:C238"/>
    <mergeCell ref="B237:B238"/>
    <mergeCell ref="A237:A238"/>
    <mergeCell ref="L237:L238"/>
    <mergeCell ref="K237:K238"/>
    <mergeCell ref="J237:J238"/>
    <mergeCell ref="I237:I238"/>
    <mergeCell ref="H237:H238"/>
    <mergeCell ref="G237:G238"/>
    <mergeCell ref="P237:P238"/>
    <mergeCell ref="O237:O238"/>
    <mergeCell ref="N237:N238"/>
    <mergeCell ref="M237:M238"/>
    <mergeCell ref="A239:A240"/>
    <mergeCell ref="Y237:Y238"/>
    <mergeCell ref="T237:T238"/>
    <mergeCell ref="S237:S238"/>
    <mergeCell ref="R237:R238"/>
    <mergeCell ref="Q237:Q238"/>
    <mergeCell ref="G239:G240"/>
    <mergeCell ref="F239:F240"/>
    <mergeCell ref="E239:E240"/>
    <mergeCell ref="D239:D240"/>
    <mergeCell ref="C239:C240"/>
    <mergeCell ref="B239:B240"/>
    <mergeCell ref="M239:M240"/>
    <mergeCell ref="L239:L240"/>
    <mergeCell ref="K239:K240"/>
    <mergeCell ref="J239:J240"/>
    <mergeCell ref="I239:I240"/>
    <mergeCell ref="H239:H240"/>
    <mergeCell ref="P239:P240"/>
    <mergeCell ref="O239:O240"/>
    <mergeCell ref="N239:N240"/>
    <mergeCell ref="Y239:Y240"/>
    <mergeCell ref="T239:T240"/>
    <mergeCell ref="S239:S240"/>
    <mergeCell ref="R239:R240"/>
    <mergeCell ref="Q239:Q240"/>
    <mergeCell ref="D241:D242"/>
    <mergeCell ref="C241:C242"/>
    <mergeCell ref="B241:B242"/>
    <mergeCell ref="A241:A242"/>
    <mergeCell ref="J241:J242"/>
    <mergeCell ref="I241:I242"/>
    <mergeCell ref="H241:H242"/>
    <mergeCell ref="G241:G242"/>
    <mergeCell ref="F241:F242"/>
    <mergeCell ref="E241:E242"/>
    <mergeCell ref="P241:P242"/>
    <mergeCell ref="O241:O242"/>
    <mergeCell ref="N241:N242"/>
    <mergeCell ref="M241:M242"/>
    <mergeCell ref="L241:L242"/>
    <mergeCell ref="K241:K242"/>
    <mergeCell ref="Y241:Y242"/>
    <mergeCell ref="T241:T242"/>
    <mergeCell ref="S241:S242"/>
    <mergeCell ref="R241:R242"/>
    <mergeCell ref="Q241:Q242"/>
    <mergeCell ref="E243:E244"/>
    <mergeCell ref="P243:P244"/>
    <mergeCell ref="O243:O244"/>
    <mergeCell ref="N243:N244"/>
    <mergeCell ref="M243:M244"/>
    <mergeCell ref="D243:D244"/>
    <mergeCell ref="C243:C244"/>
    <mergeCell ref="B243:B244"/>
    <mergeCell ref="A243:A244"/>
    <mergeCell ref="K243:K244"/>
    <mergeCell ref="J243:J244"/>
    <mergeCell ref="I243:I244"/>
    <mergeCell ref="H243:H244"/>
    <mergeCell ref="G243:G244"/>
    <mergeCell ref="F243:F244"/>
    <mergeCell ref="L243:L244"/>
    <mergeCell ref="Y243:Y244"/>
    <mergeCell ref="T243:T244"/>
    <mergeCell ref="S243:S244"/>
    <mergeCell ref="R243:R244"/>
    <mergeCell ref="Q243:Q244"/>
    <mergeCell ref="F258:F259"/>
    <mergeCell ref="E258:E259"/>
    <mergeCell ref="D258:D259"/>
    <mergeCell ref="C258:C259"/>
    <mergeCell ref="B258:B259"/>
    <mergeCell ref="A258:A259"/>
    <mergeCell ref="L258:L259"/>
    <mergeCell ref="K258:K259"/>
    <mergeCell ref="J258:J259"/>
    <mergeCell ref="I258:I259"/>
    <mergeCell ref="H258:H259"/>
    <mergeCell ref="G258:G259"/>
    <mergeCell ref="P258:P259"/>
    <mergeCell ref="O258:O259"/>
    <mergeCell ref="N258:N259"/>
    <mergeCell ref="M258:M259"/>
    <mergeCell ref="A260:A261"/>
    <mergeCell ref="Y258:Y259"/>
    <mergeCell ref="T258:T259"/>
    <mergeCell ref="S258:S259"/>
    <mergeCell ref="R258:R259"/>
    <mergeCell ref="Q258:Q259"/>
    <mergeCell ref="G260:G261"/>
    <mergeCell ref="F260:F261"/>
    <mergeCell ref="E260:E261"/>
    <mergeCell ref="D260:D261"/>
    <mergeCell ref="C260:C261"/>
    <mergeCell ref="B260:B261"/>
    <mergeCell ref="M260:M261"/>
    <mergeCell ref="L260:L261"/>
    <mergeCell ref="K260:K261"/>
    <mergeCell ref="J260:J261"/>
    <mergeCell ref="I260:I261"/>
    <mergeCell ref="H260:H261"/>
    <mergeCell ref="P260:P261"/>
    <mergeCell ref="O260:O261"/>
    <mergeCell ref="N260:N261"/>
    <mergeCell ref="Y260:Y261"/>
    <mergeCell ref="T260:T261"/>
    <mergeCell ref="S260:S261"/>
    <mergeCell ref="R260:R261"/>
    <mergeCell ref="Q260:Q261"/>
    <mergeCell ref="D262:D263"/>
    <mergeCell ref="C262:C263"/>
    <mergeCell ref="B262:B263"/>
    <mergeCell ref="A262:A263"/>
    <mergeCell ref="J262:J263"/>
    <mergeCell ref="I262:I263"/>
    <mergeCell ref="H262:H263"/>
    <mergeCell ref="G262:G263"/>
    <mergeCell ref="F262:F263"/>
    <mergeCell ref="E262:E263"/>
    <mergeCell ref="P262:P263"/>
    <mergeCell ref="O262:O263"/>
    <mergeCell ref="N262:N263"/>
    <mergeCell ref="M262:M263"/>
    <mergeCell ref="L262:L263"/>
    <mergeCell ref="K262:K263"/>
    <mergeCell ref="Y262:Y263"/>
    <mergeCell ref="T262:T263"/>
    <mergeCell ref="S262:S263"/>
    <mergeCell ref="R262:R263"/>
    <mergeCell ref="Q262:Q263"/>
    <mergeCell ref="E264:E265"/>
    <mergeCell ref="P264:P265"/>
    <mergeCell ref="O264:O265"/>
    <mergeCell ref="N264:N265"/>
    <mergeCell ref="M264:M265"/>
    <mergeCell ref="D264:D265"/>
    <mergeCell ref="C264:C265"/>
    <mergeCell ref="B264:B265"/>
    <mergeCell ref="A264:A265"/>
    <mergeCell ref="K264:K265"/>
    <mergeCell ref="J264:J265"/>
    <mergeCell ref="I264:I265"/>
    <mergeCell ref="H264:H265"/>
    <mergeCell ref="G264:G265"/>
    <mergeCell ref="F264:F265"/>
    <mergeCell ref="L264:L265"/>
    <mergeCell ref="Y264:Y265"/>
    <mergeCell ref="T264:T265"/>
    <mergeCell ref="S264:S265"/>
    <mergeCell ref="R264:R265"/>
    <mergeCell ref="Q264:Q265"/>
    <mergeCell ref="F266:F267"/>
    <mergeCell ref="E266:E267"/>
    <mergeCell ref="D266:D267"/>
    <mergeCell ref="C266:C267"/>
    <mergeCell ref="B266:B267"/>
    <mergeCell ref="A266:A267"/>
    <mergeCell ref="L266:L267"/>
    <mergeCell ref="K266:K267"/>
    <mergeCell ref="J266:J267"/>
    <mergeCell ref="I266:I267"/>
    <mergeCell ref="H266:H267"/>
    <mergeCell ref="G266:G267"/>
    <mergeCell ref="P266:P267"/>
    <mergeCell ref="O266:O267"/>
    <mergeCell ref="N266:N267"/>
    <mergeCell ref="M266:M267"/>
    <mergeCell ref="A268:A269"/>
    <mergeCell ref="Y266:Y267"/>
    <mergeCell ref="T266:T267"/>
    <mergeCell ref="S266:S267"/>
    <mergeCell ref="R266:R267"/>
    <mergeCell ref="Q266:Q267"/>
    <mergeCell ref="G268:G269"/>
    <mergeCell ref="F268:F269"/>
    <mergeCell ref="E268:E269"/>
    <mergeCell ref="D268:D269"/>
    <mergeCell ref="C268:C269"/>
    <mergeCell ref="B268:B269"/>
    <mergeCell ref="M268:M269"/>
    <mergeCell ref="L268:L269"/>
    <mergeCell ref="K268:K269"/>
    <mergeCell ref="J268:J269"/>
    <mergeCell ref="I268:I269"/>
    <mergeCell ref="H268:H269"/>
    <mergeCell ref="P268:P269"/>
    <mergeCell ref="O268:O269"/>
    <mergeCell ref="N268:N269"/>
    <mergeCell ref="Y268:Y269"/>
    <mergeCell ref="T268:T269"/>
    <mergeCell ref="S268:S269"/>
    <mergeCell ref="R268:R269"/>
    <mergeCell ref="Q268:Q269"/>
    <mergeCell ref="D270:D271"/>
    <mergeCell ref="C270:C271"/>
    <mergeCell ref="B270:B271"/>
    <mergeCell ref="A270:A271"/>
    <mergeCell ref="J270:J271"/>
    <mergeCell ref="I270:I271"/>
    <mergeCell ref="H270:H271"/>
    <mergeCell ref="G270:G271"/>
    <mergeCell ref="F270:F271"/>
    <mergeCell ref="E270:E271"/>
    <mergeCell ref="P270:P271"/>
    <mergeCell ref="O270:O271"/>
    <mergeCell ref="N270:N271"/>
    <mergeCell ref="M270:M271"/>
    <mergeCell ref="L270:L271"/>
    <mergeCell ref="K270:K271"/>
    <mergeCell ref="Y270:Y271"/>
    <mergeCell ref="T270:T271"/>
    <mergeCell ref="S270:S271"/>
    <mergeCell ref="R270:R271"/>
    <mergeCell ref="Q270:Q271"/>
    <mergeCell ref="E272:E273"/>
    <mergeCell ref="P272:P273"/>
    <mergeCell ref="O272:O273"/>
    <mergeCell ref="N272:N273"/>
    <mergeCell ref="M272:M273"/>
    <mergeCell ref="D272:D273"/>
    <mergeCell ref="C272:C273"/>
    <mergeCell ref="B272:B273"/>
    <mergeCell ref="A272:A273"/>
    <mergeCell ref="K272:K273"/>
    <mergeCell ref="J272:J273"/>
    <mergeCell ref="I272:I273"/>
    <mergeCell ref="H272:H273"/>
    <mergeCell ref="G272:G273"/>
    <mergeCell ref="F272:F273"/>
    <mergeCell ref="L272:L273"/>
    <mergeCell ref="Y272:Y273"/>
    <mergeCell ref="T272:T273"/>
    <mergeCell ref="S272:S273"/>
    <mergeCell ref="R272:R273"/>
    <mergeCell ref="Q272:Q273"/>
    <mergeCell ref="F274:F275"/>
    <mergeCell ref="E274:E275"/>
    <mergeCell ref="D274:D275"/>
    <mergeCell ref="C274:C275"/>
    <mergeCell ref="B274:B275"/>
    <mergeCell ref="A274:A275"/>
    <mergeCell ref="L274:L275"/>
    <mergeCell ref="K274:K275"/>
    <mergeCell ref="J274:J275"/>
    <mergeCell ref="I274:I275"/>
    <mergeCell ref="H274:H275"/>
    <mergeCell ref="G274:G275"/>
    <mergeCell ref="P274:P275"/>
    <mergeCell ref="O274:O275"/>
    <mergeCell ref="N274:N275"/>
    <mergeCell ref="M274:M275"/>
    <mergeCell ref="A276:A277"/>
    <mergeCell ref="Y274:Y275"/>
    <mergeCell ref="T274:T275"/>
    <mergeCell ref="S274:S275"/>
    <mergeCell ref="R274:R275"/>
    <mergeCell ref="Q274:Q275"/>
    <mergeCell ref="G276:G277"/>
    <mergeCell ref="F276:F277"/>
    <mergeCell ref="E276:E277"/>
    <mergeCell ref="D276:D277"/>
    <mergeCell ref="C276:C277"/>
    <mergeCell ref="B276:B277"/>
    <mergeCell ref="M276:M277"/>
    <mergeCell ref="L276:L277"/>
    <mergeCell ref="K276:K277"/>
    <mergeCell ref="J276:J277"/>
    <mergeCell ref="I276:I277"/>
    <mergeCell ref="H276:H277"/>
    <mergeCell ref="P276:P277"/>
    <mergeCell ref="O276:O277"/>
    <mergeCell ref="N276:N277"/>
    <mergeCell ref="Y276:Y277"/>
    <mergeCell ref="T276:T277"/>
    <mergeCell ref="S276:S277"/>
    <mergeCell ref="R276:R277"/>
    <mergeCell ref="Q276:Q277"/>
    <mergeCell ref="D278:D279"/>
    <mergeCell ref="C278:C279"/>
    <mergeCell ref="B278:B279"/>
    <mergeCell ref="A278:A279"/>
    <mergeCell ref="J278:J279"/>
    <mergeCell ref="I278:I279"/>
    <mergeCell ref="H278:H279"/>
    <mergeCell ref="G278:G279"/>
    <mergeCell ref="F278:F279"/>
    <mergeCell ref="E278:E279"/>
    <mergeCell ref="P278:P279"/>
    <mergeCell ref="O278:O279"/>
    <mergeCell ref="N278:N279"/>
    <mergeCell ref="M278:M279"/>
    <mergeCell ref="L278:L279"/>
    <mergeCell ref="K278:K279"/>
    <mergeCell ref="Y278:Y279"/>
    <mergeCell ref="T278:T279"/>
    <mergeCell ref="S278:S279"/>
    <mergeCell ref="R278:R279"/>
    <mergeCell ref="Q278:Q279"/>
    <mergeCell ref="E280:E281"/>
    <mergeCell ref="P280:P281"/>
    <mergeCell ref="O280:O281"/>
    <mergeCell ref="N280:N281"/>
    <mergeCell ref="M280:M281"/>
    <mergeCell ref="D280:D281"/>
    <mergeCell ref="C280:C281"/>
    <mergeCell ref="B280:B281"/>
    <mergeCell ref="A280:A281"/>
    <mergeCell ref="K280:K281"/>
    <mergeCell ref="J280:J281"/>
    <mergeCell ref="I280:I281"/>
    <mergeCell ref="H280:H281"/>
    <mergeCell ref="G280:G281"/>
    <mergeCell ref="F280:F281"/>
    <mergeCell ref="L280:L281"/>
    <mergeCell ref="Y280:Y281"/>
    <mergeCell ref="T280:T281"/>
    <mergeCell ref="S280:S281"/>
    <mergeCell ref="R280:R281"/>
    <mergeCell ref="Q280:Q281"/>
    <mergeCell ref="F282:F283"/>
    <mergeCell ref="E282:E283"/>
    <mergeCell ref="D282:D283"/>
    <mergeCell ref="C282:C283"/>
    <mergeCell ref="B282:B283"/>
    <mergeCell ref="A282:A283"/>
    <mergeCell ref="L282:L283"/>
    <mergeCell ref="K282:K283"/>
    <mergeCell ref="J282:J283"/>
    <mergeCell ref="I282:I283"/>
    <mergeCell ref="H282:H283"/>
    <mergeCell ref="G282:G283"/>
    <mergeCell ref="P282:P283"/>
    <mergeCell ref="O282:O283"/>
    <mergeCell ref="N282:N283"/>
    <mergeCell ref="M282:M283"/>
    <mergeCell ref="A284:A285"/>
    <mergeCell ref="Y282:Y283"/>
    <mergeCell ref="T282:T283"/>
    <mergeCell ref="S282:S283"/>
    <mergeCell ref="R282:R283"/>
    <mergeCell ref="Q282:Q283"/>
    <mergeCell ref="G284:G285"/>
    <mergeCell ref="F284:F285"/>
    <mergeCell ref="E284:E285"/>
    <mergeCell ref="D284:D285"/>
    <mergeCell ref="C284:C285"/>
    <mergeCell ref="B284:B285"/>
    <mergeCell ref="M284:M285"/>
    <mergeCell ref="L284:L285"/>
    <mergeCell ref="K284:K285"/>
    <mergeCell ref="J284:J285"/>
    <mergeCell ref="I284:I285"/>
    <mergeCell ref="H284:H285"/>
    <mergeCell ref="P284:P285"/>
    <mergeCell ref="O284:O285"/>
    <mergeCell ref="N284:N285"/>
    <mergeCell ref="Y284:Y285"/>
    <mergeCell ref="T284:T285"/>
    <mergeCell ref="S284:S285"/>
    <mergeCell ref="R284:R285"/>
    <mergeCell ref="Q284:Q285"/>
    <mergeCell ref="D286:D287"/>
    <mergeCell ref="C286:C287"/>
    <mergeCell ref="B286:B287"/>
    <mergeCell ref="A286:A287"/>
    <mergeCell ref="J286:J287"/>
    <mergeCell ref="I286:I287"/>
    <mergeCell ref="H286:H287"/>
    <mergeCell ref="G286:G287"/>
    <mergeCell ref="F286:F287"/>
    <mergeCell ref="E286:E287"/>
    <mergeCell ref="P286:P287"/>
    <mergeCell ref="O286:O287"/>
    <mergeCell ref="N286:N287"/>
    <mergeCell ref="M286:M287"/>
    <mergeCell ref="L286:L287"/>
    <mergeCell ref="K286:K287"/>
    <mergeCell ref="Y286:Y287"/>
    <mergeCell ref="T286:T287"/>
    <mergeCell ref="S286:S287"/>
    <mergeCell ref="R286:R287"/>
    <mergeCell ref="Q286:Q287"/>
    <mergeCell ref="E288:E289"/>
    <mergeCell ref="P288:P289"/>
    <mergeCell ref="O288:O289"/>
    <mergeCell ref="N288:N289"/>
    <mergeCell ref="M288:M289"/>
    <mergeCell ref="D288:D289"/>
    <mergeCell ref="C288:C289"/>
    <mergeCell ref="B288:B289"/>
    <mergeCell ref="A288:A289"/>
    <mergeCell ref="K288:K289"/>
    <mergeCell ref="J288:J289"/>
    <mergeCell ref="I288:I289"/>
    <mergeCell ref="H288:H289"/>
    <mergeCell ref="G288:G289"/>
    <mergeCell ref="F288:F289"/>
    <mergeCell ref="L288:L289"/>
    <mergeCell ref="Y288:Y289"/>
    <mergeCell ref="T288:T289"/>
    <mergeCell ref="S288:S289"/>
    <mergeCell ref="R288:R289"/>
    <mergeCell ref="Q288:Q289"/>
    <mergeCell ref="F290:F291"/>
    <mergeCell ref="E290:E291"/>
    <mergeCell ref="D290:D291"/>
    <mergeCell ref="C290:C291"/>
    <mergeCell ref="B290:B291"/>
    <mergeCell ref="A290:A291"/>
    <mergeCell ref="L290:L291"/>
    <mergeCell ref="K290:K291"/>
    <mergeCell ref="J290:J291"/>
    <mergeCell ref="I290:I291"/>
    <mergeCell ref="H290:H291"/>
    <mergeCell ref="G290:G291"/>
    <mergeCell ref="P290:P291"/>
    <mergeCell ref="O290:O291"/>
    <mergeCell ref="N290:N291"/>
    <mergeCell ref="M290:M291"/>
    <mergeCell ref="A293:A294"/>
    <mergeCell ref="Y290:Y291"/>
    <mergeCell ref="T290:T291"/>
    <mergeCell ref="S290:S291"/>
    <mergeCell ref="R290:R291"/>
    <mergeCell ref="Q290:Q291"/>
    <mergeCell ref="G293:G294"/>
    <mergeCell ref="F293:F294"/>
    <mergeCell ref="E293:E294"/>
    <mergeCell ref="D293:D294"/>
    <mergeCell ref="C293:C294"/>
    <mergeCell ref="B293:B294"/>
    <mergeCell ref="M293:M294"/>
    <mergeCell ref="L293:L294"/>
    <mergeCell ref="K293:K294"/>
    <mergeCell ref="J293:J294"/>
    <mergeCell ref="I293:I294"/>
    <mergeCell ref="H293:H294"/>
    <mergeCell ref="P293:P294"/>
    <mergeCell ref="O293:O294"/>
    <mergeCell ref="N293:N294"/>
    <mergeCell ref="Y293:Y294"/>
    <mergeCell ref="T293:T294"/>
    <mergeCell ref="S293:S294"/>
    <mergeCell ref="R293:R294"/>
    <mergeCell ref="Q293:Q294"/>
    <mergeCell ref="D295:D296"/>
    <mergeCell ref="C295:C296"/>
    <mergeCell ref="B295:B296"/>
    <mergeCell ref="A295:A296"/>
    <mergeCell ref="J295:J296"/>
    <mergeCell ref="I295:I296"/>
    <mergeCell ref="H295:H296"/>
    <mergeCell ref="G295:G296"/>
    <mergeCell ref="F295:F296"/>
    <mergeCell ref="E295:E296"/>
    <mergeCell ref="P295:P296"/>
    <mergeCell ref="O295:O296"/>
    <mergeCell ref="N295:N296"/>
    <mergeCell ref="M295:M296"/>
    <mergeCell ref="L295:L296"/>
    <mergeCell ref="K295:K296"/>
    <mergeCell ref="Y295:Y296"/>
    <mergeCell ref="T295:T296"/>
    <mergeCell ref="S295:S296"/>
    <mergeCell ref="R295:R296"/>
    <mergeCell ref="Q295:Q296"/>
    <mergeCell ref="E297:E298"/>
    <mergeCell ref="P297:P298"/>
    <mergeCell ref="O297:O298"/>
    <mergeCell ref="N297:N298"/>
    <mergeCell ref="M297:M298"/>
    <mergeCell ref="D297:D298"/>
    <mergeCell ref="C297:C298"/>
    <mergeCell ref="B297:B298"/>
    <mergeCell ref="A297:A298"/>
    <mergeCell ref="K297:K298"/>
    <mergeCell ref="J297:J298"/>
    <mergeCell ref="I297:I298"/>
    <mergeCell ref="H297:H298"/>
    <mergeCell ref="G297:G298"/>
    <mergeCell ref="F297:F298"/>
    <mergeCell ref="L297:L298"/>
    <mergeCell ref="Y297:Y298"/>
    <mergeCell ref="T297:T298"/>
    <mergeCell ref="S297:S298"/>
    <mergeCell ref="R297:R298"/>
    <mergeCell ref="Q297:Q298"/>
    <mergeCell ref="F299:F300"/>
    <mergeCell ref="E299:E300"/>
    <mergeCell ref="D299:D300"/>
    <mergeCell ref="C299:C300"/>
    <mergeCell ref="B299:B300"/>
    <mergeCell ref="A299:A300"/>
    <mergeCell ref="L299:L300"/>
    <mergeCell ref="K299:K300"/>
    <mergeCell ref="J299:J300"/>
    <mergeCell ref="I299:I300"/>
    <mergeCell ref="H299:H300"/>
    <mergeCell ref="G299:G300"/>
    <mergeCell ref="P299:P300"/>
    <mergeCell ref="O299:O300"/>
    <mergeCell ref="N299:N300"/>
    <mergeCell ref="M299:M300"/>
    <mergeCell ref="A301:A302"/>
    <mergeCell ref="Y299:Y300"/>
    <mergeCell ref="T299:T300"/>
    <mergeCell ref="S299:S300"/>
    <mergeCell ref="R299:R300"/>
    <mergeCell ref="Q299:Q300"/>
    <mergeCell ref="G301:G302"/>
    <mergeCell ref="F301:F302"/>
    <mergeCell ref="E301:E302"/>
    <mergeCell ref="D301:D302"/>
    <mergeCell ref="C301:C302"/>
    <mergeCell ref="B301:B302"/>
    <mergeCell ref="M301:M302"/>
    <mergeCell ref="L301:L302"/>
    <mergeCell ref="K301:K302"/>
    <mergeCell ref="J301:J302"/>
    <mergeCell ref="I301:I302"/>
    <mergeCell ref="H301:H302"/>
    <mergeCell ref="P301:P302"/>
    <mergeCell ref="O301:O302"/>
    <mergeCell ref="N301:N302"/>
    <mergeCell ref="Y301:Y302"/>
    <mergeCell ref="T301:T302"/>
    <mergeCell ref="S301:S302"/>
    <mergeCell ref="R301:R302"/>
    <mergeCell ref="Q301:Q302"/>
    <mergeCell ref="D303:D304"/>
    <mergeCell ref="C303:C304"/>
    <mergeCell ref="B303:B304"/>
    <mergeCell ref="A303:A304"/>
    <mergeCell ref="J303:J304"/>
    <mergeCell ref="I303:I304"/>
    <mergeCell ref="H303:H304"/>
    <mergeCell ref="G303:G304"/>
    <mergeCell ref="F303:F304"/>
    <mergeCell ref="E303:E304"/>
    <mergeCell ref="P303:P304"/>
    <mergeCell ref="O303:O304"/>
    <mergeCell ref="N303:N304"/>
    <mergeCell ref="M303:M304"/>
    <mergeCell ref="L303:L304"/>
    <mergeCell ref="K303:K304"/>
    <mergeCell ref="Y303:Y304"/>
    <mergeCell ref="T303:T304"/>
    <mergeCell ref="S303:S304"/>
    <mergeCell ref="R303:R304"/>
    <mergeCell ref="Q303:Q304"/>
    <mergeCell ref="E305:E306"/>
    <mergeCell ref="P305:P306"/>
    <mergeCell ref="O305:O306"/>
    <mergeCell ref="N305:N306"/>
    <mergeCell ref="M305:M306"/>
    <mergeCell ref="D305:D306"/>
    <mergeCell ref="C305:C306"/>
    <mergeCell ref="B305:B306"/>
    <mergeCell ref="A305:A306"/>
    <mergeCell ref="K305:K306"/>
    <mergeCell ref="J305:J306"/>
    <mergeCell ref="I305:I306"/>
    <mergeCell ref="H305:H306"/>
    <mergeCell ref="G305:G306"/>
    <mergeCell ref="F305:F306"/>
    <mergeCell ref="L305:L306"/>
    <mergeCell ref="Y305:Y306"/>
    <mergeCell ref="T305:T306"/>
    <mergeCell ref="S305:S306"/>
    <mergeCell ref="R305:R306"/>
    <mergeCell ref="Q305:Q306"/>
    <mergeCell ref="F307:F308"/>
    <mergeCell ref="E307:E308"/>
    <mergeCell ref="D307:D308"/>
    <mergeCell ref="C307:C308"/>
    <mergeCell ref="B307:B308"/>
    <mergeCell ref="A307:A308"/>
    <mergeCell ref="L307:L308"/>
    <mergeCell ref="K307:K308"/>
    <mergeCell ref="J307:J308"/>
    <mergeCell ref="I307:I308"/>
    <mergeCell ref="H307:H308"/>
    <mergeCell ref="G307:G308"/>
    <mergeCell ref="P307:P308"/>
    <mergeCell ref="O307:O308"/>
    <mergeCell ref="N307:N308"/>
    <mergeCell ref="M307:M308"/>
    <mergeCell ref="A309:A310"/>
    <mergeCell ref="Y307:Y308"/>
    <mergeCell ref="T307:T308"/>
    <mergeCell ref="S307:S308"/>
    <mergeCell ref="R307:R308"/>
    <mergeCell ref="Q307:Q308"/>
    <mergeCell ref="G309:G310"/>
    <mergeCell ref="F309:F310"/>
    <mergeCell ref="E309:E310"/>
    <mergeCell ref="D309:D310"/>
    <mergeCell ref="C309:C310"/>
    <mergeCell ref="B309:B310"/>
    <mergeCell ref="M309:M310"/>
    <mergeCell ref="L309:L310"/>
    <mergeCell ref="K309:K310"/>
    <mergeCell ref="J309:J310"/>
    <mergeCell ref="I309:I310"/>
    <mergeCell ref="H309:H310"/>
    <mergeCell ref="P309:P310"/>
    <mergeCell ref="O309:O310"/>
    <mergeCell ref="N309:N310"/>
    <mergeCell ref="Y309:Y310"/>
    <mergeCell ref="T309:T310"/>
    <mergeCell ref="S309:S310"/>
    <mergeCell ref="R309:R310"/>
    <mergeCell ref="Q309:Q310"/>
    <mergeCell ref="D311:D312"/>
    <mergeCell ref="C311:C312"/>
    <mergeCell ref="B311:B312"/>
    <mergeCell ref="A311:A312"/>
    <mergeCell ref="J311:J312"/>
    <mergeCell ref="I311:I312"/>
    <mergeCell ref="H311:H312"/>
    <mergeCell ref="G311:G312"/>
    <mergeCell ref="F311:F312"/>
    <mergeCell ref="E311:E312"/>
    <mergeCell ref="P311:P312"/>
    <mergeCell ref="O311:O312"/>
    <mergeCell ref="N311:N312"/>
    <mergeCell ref="M311:M312"/>
    <mergeCell ref="L311:L312"/>
    <mergeCell ref="K311:K312"/>
    <mergeCell ref="Y311:Y312"/>
    <mergeCell ref="T311:T312"/>
    <mergeCell ref="S311:S312"/>
    <mergeCell ref="R311:R312"/>
    <mergeCell ref="Q311:Q312"/>
    <mergeCell ref="E313:E314"/>
    <mergeCell ref="P313:P314"/>
    <mergeCell ref="O313:O314"/>
    <mergeCell ref="N313:N314"/>
    <mergeCell ref="M313:M314"/>
    <mergeCell ref="D313:D314"/>
    <mergeCell ref="C313:C314"/>
    <mergeCell ref="B313:B314"/>
    <mergeCell ref="A313:A314"/>
    <mergeCell ref="K313:K314"/>
    <mergeCell ref="J313:J314"/>
    <mergeCell ref="I313:I314"/>
    <mergeCell ref="H313:H314"/>
    <mergeCell ref="G313:G314"/>
    <mergeCell ref="F313:F314"/>
    <mergeCell ref="L313:L314"/>
    <mergeCell ref="Y313:Y314"/>
    <mergeCell ref="T313:T314"/>
    <mergeCell ref="S313:S314"/>
    <mergeCell ref="R313:R314"/>
    <mergeCell ref="Q313:Q314"/>
    <mergeCell ref="F315:F316"/>
    <mergeCell ref="E315:E316"/>
    <mergeCell ref="D315:D316"/>
    <mergeCell ref="C315:C316"/>
    <mergeCell ref="B315:B316"/>
    <mergeCell ref="A315:A316"/>
    <mergeCell ref="L315:L316"/>
    <mergeCell ref="K315:K316"/>
    <mergeCell ref="J315:J316"/>
    <mergeCell ref="I315:I316"/>
    <mergeCell ref="H315:H316"/>
    <mergeCell ref="G315:G316"/>
    <mergeCell ref="P315:P316"/>
    <mergeCell ref="O315:O316"/>
    <mergeCell ref="N315:N316"/>
    <mergeCell ref="M315:M316"/>
    <mergeCell ref="A317:A318"/>
    <mergeCell ref="Y315:Y316"/>
    <mergeCell ref="T315:T316"/>
    <mergeCell ref="S315:S316"/>
    <mergeCell ref="R315:R316"/>
    <mergeCell ref="Q315:Q316"/>
    <mergeCell ref="G317:G318"/>
    <mergeCell ref="F317:F318"/>
    <mergeCell ref="E317:E318"/>
    <mergeCell ref="D317:D318"/>
    <mergeCell ref="C317:C318"/>
    <mergeCell ref="B317:B318"/>
    <mergeCell ref="M317:M318"/>
    <mergeCell ref="L317:L318"/>
    <mergeCell ref="K317:K318"/>
    <mergeCell ref="J317:J318"/>
    <mergeCell ref="I317:I318"/>
    <mergeCell ref="H317:H318"/>
    <mergeCell ref="P317:P318"/>
    <mergeCell ref="O317:O318"/>
    <mergeCell ref="N317:N318"/>
    <mergeCell ref="Y317:Y318"/>
    <mergeCell ref="T317:T318"/>
    <mergeCell ref="S317:S318"/>
    <mergeCell ref="R317:R318"/>
    <mergeCell ref="Q317:Q318"/>
    <mergeCell ref="D319:D320"/>
    <mergeCell ref="C319:C320"/>
    <mergeCell ref="B319:B320"/>
    <mergeCell ref="A319:A320"/>
    <mergeCell ref="J319:J320"/>
    <mergeCell ref="I319:I320"/>
    <mergeCell ref="H319:H320"/>
    <mergeCell ref="G319:G320"/>
    <mergeCell ref="F319:F320"/>
    <mergeCell ref="E319:E320"/>
    <mergeCell ref="P319:P320"/>
    <mergeCell ref="O319:O320"/>
    <mergeCell ref="N319:N320"/>
    <mergeCell ref="M319:M320"/>
    <mergeCell ref="L319:L320"/>
    <mergeCell ref="K319:K320"/>
    <mergeCell ref="Y319:Y320"/>
    <mergeCell ref="T319:T320"/>
    <mergeCell ref="S319:S320"/>
    <mergeCell ref="R319:R320"/>
    <mergeCell ref="Q319:Q320"/>
    <mergeCell ref="E321:E322"/>
    <mergeCell ref="P321:P322"/>
    <mergeCell ref="O321:O322"/>
    <mergeCell ref="N321:N322"/>
    <mergeCell ref="M321:M322"/>
    <mergeCell ref="D321:D322"/>
    <mergeCell ref="C321:C322"/>
    <mergeCell ref="B321:B322"/>
    <mergeCell ref="A321:A322"/>
    <mergeCell ref="K321:K322"/>
    <mergeCell ref="J321:J322"/>
    <mergeCell ref="I321:I322"/>
    <mergeCell ref="H321:H322"/>
    <mergeCell ref="G321:G322"/>
    <mergeCell ref="F321:F322"/>
    <mergeCell ref="L321:L322"/>
    <mergeCell ref="Y321:Y322"/>
    <mergeCell ref="T321:T322"/>
    <mergeCell ref="S321:S322"/>
    <mergeCell ref="R321:R322"/>
    <mergeCell ref="Q321:Q322"/>
    <mergeCell ref="F323:F324"/>
    <mergeCell ref="E323:E324"/>
    <mergeCell ref="D323:D324"/>
    <mergeCell ref="C323:C324"/>
    <mergeCell ref="B323:B324"/>
    <mergeCell ref="A323:A324"/>
    <mergeCell ref="L323:L324"/>
    <mergeCell ref="K323:K324"/>
    <mergeCell ref="J323:J324"/>
    <mergeCell ref="I323:I324"/>
    <mergeCell ref="H323:H324"/>
    <mergeCell ref="G323:G324"/>
    <mergeCell ref="P323:P324"/>
    <mergeCell ref="O323:O324"/>
    <mergeCell ref="N323:N324"/>
    <mergeCell ref="M323:M324"/>
    <mergeCell ref="A325:A326"/>
    <mergeCell ref="Y323:Y324"/>
    <mergeCell ref="T323:T324"/>
    <mergeCell ref="S323:S324"/>
    <mergeCell ref="R323:R324"/>
    <mergeCell ref="Q323:Q324"/>
    <mergeCell ref="G325:G326"/>
    <mergeCell ref="F325:F326"/>
    <mergeCell ref="E325:E326"/>
    <mergeCell ref="D325:D326"/>
    <mergeCell ref="C325:C326"/>
    <mergeCell ref="B325:B326"/>
    <mergeCell ref="M325:M326"/>
    <mergeCell ref="L325:L326"/>
    <mergeCell ref="K325:K326"/>
    <mergeCell ref="J325:J326"/>
    <mergeCell ref="I325:I326"/>
    <mergeCell ref="H325:H326"/>
    <mergeCell ref="P325:P326"/>
    <mergeCell ref="O325:O326"/>
    <mergeCell ref="N325:N326"/>
    <mergeCell ref="Y325:Y326"/>
    <mergeCell ref="T325:T326"/>
    <mergeCell ref="S325:S326"/>
    <mergeCell ref="R325:R326"/>
    <mergeCell ref="Q325:Q326"/>
    <mergeCell ref="D327:D328"/>
    <mergeCell ref="C327:C328"/>
    <mergeCell ref="B327:B328"/>
    <mergeCell ref="A327:A328"/>
    <mergeCell ref="J327:J328"/>
    <mergeCell ref="I327:I328"/>
    <mergeCell ref="H327:H328"/>
    <mergeCell ref="G327:G328"/>
    <mergeCell ref="F327:F328"/>
    <mergeCell ref="E327:E328"/>
    <mergeCell ref="P327:P328"/>
    <mergeCell ref="O327:O328"/>
    <mergeCell ref="N327:N328"/>
    <mergeCell ref="M327:M328"/>
    <mergeCell ref="L327:L328"/>
    <mergeCell ref="K327:K328"/>
    <mergeCell ref="Y327:Y328"/>
    <mergeCell ref="T327:T328"/>
    <mergeCell ref="S327:S328"/>
    <mergeCell ref="R327:R328"/>
    <mergeCell ref="Q327:Q328"/>
    <mergeCell ref="E329:E330"/>
    <mergeCell ref="P329:P330"/>
    <mergeCell ref="O329:O330"/>
    <mergeCell ref="N329:N330"/>
    <mergeCell ref="M329:M330"/>
    <mergeCell ref="D329:D330"/>
    <mergeCell ref="C329:C330"/>
    <mergeCell ref="B329:B330"/>
    <mergeCell ref="A329:A330"/>
    <mergeCell ref="K329:K330"/>
    <mergeCell ref="J329:J330"/>
    <mergeCell ref="I329:I330"/>
    <mergeCell ref="H329:H330"/>
    <mergeCell ref="G329:G330"/>
    <mergeCell ref="F329:F330"/>
    <mergeCell ref="L329:L330"/>
    <mergeCell ref="Y329:Y330"/>
    <mergeCell ref="T329:T330"/>
    <mergeCell ref="S329:S330"/>
    <mergeCell ref="R329:R330"/>
    <mergeCell ref="Q329:Q330"/>
    <mergeCell ref="F331:F332"/>
    <mergeCell ref="E331:E332"/>
    <mergeCell ref="D331:D332"/>
    <mergeCell ref="C331:C332"/>
    <mergeCell ref="B331:B332"/>
    <mergeCell ref="A331:A332"/>
    <mergeCell ref="L331:L332"/>
    <mergeCell ref="K331:K332"/>
    <mergeCell ref="J331:J332"/>
    <mergeCell ref="I331:I332"/>
    <mergeCell ref="H331:H332"/>
    <mergeCell ref="G331:G332"/>
    <mergeCell ref="P331:P332"/>
    <mergeCell ref="O331:O332"/>
    <mergeCell ref="N331:N332"/>
    <mergeCell ref="M331:M332"/>
    <mergeCell ref="A333:A334"/>
    <mergeCell ref="Y331:Y332"/>
    <mergeCell ref="T331:T332"/>
    <mergeCell ref="S331:S332"/>
    <mergeCell ref="R331:R332"/>
    <mergeCell ref="Q331:Q332"/>
    <mergeCell ref="G333:G334"/>
    <mergeCell ref="F333:F334"/>
    <mergeCell ref="E333:E334"/>
    <mergeCell ref="D333:D334"/>
    <mergeCell ref="C333:C334"/>
    <mergeCell ref="B333:B334"/>
    <mergeCell ref="M333:M334"/>
    <mergeCell ref="L333:L334"/>
    <mergeCell ref="K333:K334"/>
    <mergeCell ref="J333:J334"/>
    <mergeCell ref="I333:I334"/>
    <mergeCell ref="H333:H334"/>
    <mergeCell ref="P333:P334"/>
    <mergeCell ref="O333:O334"/>
    <mergeCell ref="N333:N334"/>
    <mergeCell ref="Y333:Y334"/>
    <mergeCell ref="T333:T334"/>
    <mergeCell ref="S333:S334"/>
    <mergeCell ref="R333:R334"/>
    <mergeCell ref="Q333:Q334"/>
    <mergeCell ref="D335:D336"/>
    <mergeCell ref="C335:C336"/>
    <mergeCell ref="B335:B336"/>
    <mergeCell ref="A335:A336"/>
    <mergeCell ref="J335:J336"/>
    <mergeCell ref="I335:I336"/>
    <mergeCell ref="H335:H336"/>
    <mergeCell ref="G335:G336"/>
    <mergeCell ref="F335:F336"/>
    <mergeCell ref="E335:E336"/>
    <mergeCell ref="P335:P336"/>
    <mergeCell ref="O335:O336"/>
    <mergeCell ref="N335:N336"/>
    <mergeCell ref="M335:M336"/>
    <mergeCell ref="L335:L336"/>
    <mergeCell ref="K335:K336"/>
    <mergeCell ref="Y335:Y336"/>
    <mergeCell ref="T335:T336"/>
    <mergeCell ref="S335:S336"/>
    <mergeCell ref="R335:R336"/>
    <mergeCell ref="Q335:Q336"/>
    <mergeCell ref="E337:E338"/>
    <mergeCell ref="P337:P338"/>
    <mergeCell ref="O337:O338"/>
    <mergeCell ref="N337:N338"/>
    <mergeCell ref="M337:M338"/>
    <mergeCell ref="D337:D338"/>
    <mergeCell ref="C337:C338"/>
    <mergeCell ref="B337:B338"/>
    <mergeCell ref="A337:A338"/>
    <mergeCell ref="K337:K338"/>
    <mergeCell ref="J337:J338"/>
    <mergeCell ref="I337:I338"/>
    <mergeCell ref="H337:H338"/>
    <mergeCell ref="G337:G338"/>
    <mergeCell ref="F337:F338"/>
    <mergeCell ref="L337:L338"/>
    <mergeCell ref="Y337:Y338"/>
    <mergeCell ref="T337:T338"/>
    <mergeCell ref="S337:S338"/>
    <mergeCell ref="R337:R338"/>
    <mergeCell ref="Q337:Q338"/>
    <mergeCell ref="F339:F340"/>
    <mergeCell ref="E339:E340"/>
    <mergeCell ref="D339:D340"/>
    <mergeCell ref="C339:C340"/>
    <mergeCell ref="B339:B340"/>
    <mergeCell ref="A339:A340"/>
    <mergeCell ref="L339:L340"/>
    <mergeCell ref="K339:K340"/>
    <mergeCell ref="J339:J340"/>
    <mergeCell ref="I339:I340"/>
    <mergeCell ref="H339:H340"/>
    <mergeCell ref="G339:G340"/>
    <mergeCell ref="P339:P340"/>
    <mergeCell ref="O339:O340"/>
    <mergeCell ref="N339:N340"/>
    <mergeCell ref="M339:M340"/>
    <mergeCell ref="A341:A342"/>
    <mergeCell ref="Y339:Y340"/>
    <mergeCell ref="T339:T340"/>
    <mergeCell ref="S339:S340"/>
    <mergeCell ref="R339:R340"/>
    <mergeCell ref="Q339:Q340"/>
    <mergeCell ref="G341:G342"/>
    <mergeCell ref="F341:F342"/>
    <mergeCell ref="E341:E342"/>
    <mergeCell ref="D341:D342"/>
    <mergeCell ref="C341:C342"/>
    <mergeCell ref="B341:B342"/>
    <mergeCell ref="M341:M342"/>
    <mergeCell ref="L341:L342"/>
    <mergeCell ref="K341:K342"/>
    <mergeCell ref="J341:J342"/>
    <mergeCell ref="I341:I342"/>
    <mergeCell ref="H341:H342"/>
    <mergeCell ref="P341:P342"/>
    <mergeCell ref="O341:O342"/>
    <mergeCell ref="N341:N342"/>
    <mergeCell ref="Y341:Y342"/>
    <mergeCell ref="T341:T342"/>
    <mergeCell ref="S341:S342"/>
    <mergeCell ref="R341:R342"/>
    <mergeCell ref="Q341:Q342"/>
    <mergeCell ref="D343:D344"/>
    <mergeCell ref="C343:C344"/>
    <mergeCell ref="B343:B344"/>
    <mergeCell ref="A343:A344"/>
    <mergeCell ref="J343:J344"/>
    <mergeCell ref="I343:I344"/>
    <mergeCell ref="H343:H344"/>
    <mergeCell ref="G343:G344"/>
    <mergeCell ref="F343:F344"/>
    <mergeCell ref="E343:E344"/>
    <mergeCell ref="P343:P344"/>
    <mergeCell ref="O343:O344"/>
    <mergeCell ref="N343:N344"/>
    <mergeCell ref="M343:M344"/>
    <mergeCell ref="L343:L344"/>
    <mergeCell ref="K343:K344"/>
    <mergeCell ref="Y343:Y344"/>
    <mergeCell ref="T343:T344"/>
    <mergeCell ref="S343:S344"/>
    <mergeCell ref="R343:R344"/>
    <mergeCell ref="Q343:Q344"/>
    <mergeCell ref="E345:E346"/>
    <mergeCell ref="P345:P346"/>
    <mergeCell ref="O345:O346"/>
    <mergeCell ref="N345:N346"/>
    <mergeCell ref="M345:M346"/>
    <mergeCell ref="D345:D346"/>
    <mergeCell ref="C345:C346"/>
    <mergeCell ref="B345:B346"/>
    <mergeCell ref="A345:A346"/>
    <mergeCell ref="K345:K346"/>
    <mergeCell ref="J345:J346"/>
    <mergeCell ref="I345:I346"/>
    <mergeCell ref="H345:H346"/>
    <mergeCell ref="G345:G346"/>
    <mergeCell ref="F345:F346"/>
    <mergeCell ref="L345:L346"/>
    <mergeCell ref="Y345:Y346"/>
    <mergeCell ref="T345:T346"/>
    <mergeCell ref="S345:S346"/>
    <mergeCell ref="R345:R346"/>
    <mergeCell ref="Q345:Q346"/>
    <mergeCell ref="F348:F349"/>
    <mergeCell ref="E348:E349"/>
    <mergeCell ref="D348:D349"/>
    <mergeCell ref="C348:C349"/>
    <mergeCell ref="B348:B349"/>
    <mergeCell ref="A348:A349"/>
    <mergeCell ref="L348:L349"/>
    <mergeCell ref="K348:K349"/>
    <mergeCell ref="J348:J349"/>
    <mergeCell ref="I348:I349"/>
    <mergeCell ref="H348:H349"/>
    <mergeCell ref="G348:G349"/>
    <mergeCell ref="P348:P349"/>
    <mergeCell ref="O348:O349"/>
    <mergeCell ref="N348:N349"/>
    <mergeCell ref="M348:M349"/>
    <mergeCell ref="A351:A352"/>
    <mergeCell ref="Y348:Y349"/>
    <mergeCell ref="T348:T349"/>
    <mergeCell ref="S348:S349"/>
    <mergeCell ref="R348:R349"/>
    <mergeCell ref="Q348:Q349"/>
    <mergeCell ref="G351:G352"/>
    <mergeCell ref="F351:F352"/>
    <mergeCell ref="E351:E352"/>
    <mergeCell ref="D351:D352"/>
    <mergeCell ref="C351:C352"/>
    <mergeCell ref="B351:B352"/>
    <mergeCell ref="M351:M352"/>
    <mergeCell ref="L351:L352"/>
    <mergeCell ref="K351:K352"/>
    <mergeCell ref="J351:J352"/>
    <mergeCell ref="I351:I352"/>
    <mergeCell ref="H351:H352"/>
    <mergeCell ref="P351:P352"/>
    <mergeCell ref="O351:O352"/>
    <mergeCell ref="N351:N352"/>
    <mergeCell ref="Y351:Y352"/>
    <mergeCell ref="T351:T352"/>
    <mergeCell ref="S351:S352"/>
    <mergeCell ref="R351:R352"/>
    <mergeCell ref="Q351:Q352"/>
    <mergeCell ref="D353:D354"/>
    <mergeCell ref="C353:C354"/>
    <mergeCell ref="B353:B354"/>
    <mergeCell ref="A353:A354"/>
    <mergeCell ref="J353:J354"/>
    <mergeCell ref="I353:I354"/>
    <mergeCell ref="H353:H354"/>
    <mergeCell ref="G353:G354"/>
    <mergeCell ref="F353:F354"/>
    <mergeCell ref="E353:E354"/>
    <mergeCell ref="P353:P354"/>
    <mergeCell ref="O353:O354"/>
    <mergeCell ref="N353:N354"/>
    <mergeCell ref="M353:M354"/>
    <mergeCell ref="L353:L354"/>
    <mergeCell ref="K353:K354"/>
    <mergeCell ref="Y353:Y354"/>
    <mergeCell ref="T353:T354"/>
    <mergeCell ref="S353:S354"/>
    <mergeCell ref="R353:R354"/>
    <mergeCell ref="Q353:Q354"/>
    <mergeCell ref="E357:E358"/>
    <mergeCell ref="P357:P358"/>
    <mergeCell ref="O357:O358"/>
    <mergeCell ref="N357:N358"/>
    <mergeCell ref="M357:M358"/>
    <mergeCell ref="D357:D358"/>
    <mergeCell ref="C357:C358"/>
    <mergeCell ref="B357:B358"/>
    <mergeCell ref="A357:A358"/>
    <mergeCell ref="K357:K358"/>
    <mergeCell ref="J357:J358"/>
    <mergeCell ref="I357:I358"/>
    <mergeCell ref="H357:H358"/>
    <mergeCell ref="G357:G358"/>
    <mergeCell ref="F357:F358"/>
    <mergeCell ref="L357:L358"/>
    <mergeCell ref="Y357:Y358"/>
    <mergeCell ref="T357:T358"/>
    <mergeCell ref="S357:S358"/>
    <mergeCell ref="R357:R358"/>
    <mergeCell ref="Q357:Q358"/>
    <mergeCell ref="F359:F360"/>
    <mergeCell ref="E359:E360"/>
    <mergeCell ref="D359:D360"/>
    <mergeCell ref="C359:C360"/>
    <mergeCell ref="B359:B360"/>
    <mergeCell ref="A359:A360"/>
    <mergeCell ref="L359:L360"/>
    <mergeCell ref="K359:K360"/>
    <mergeCell ref="J359:J360"/>
    <mergeCell ref="I359:I360"/>
    <mergeCell ref="H359:H360"/>
    <mergeCell ref="G359:G360"/>
    <mergeCell ref="P359:P360"/>
    <mergeCell ref="O359:O360"/>
    <mergeCell ref="N359:N360"/>
    <mergeCell ref="M359:M360"/>
    <mergeCell ref="A361:A362"/>
    <mergeCell ref="Y359:Y360"/>
    <mergeCell ref="T359:T360"/>
    <mergeCell ref="S359:S360"/>
    <mergeCell ref="R359:R360"/>
    <mergeCell ref="Q359:Q360"/>
    <mergeCell ref="G361:G362"/>
    <mergeCell ref="F361:F362"/>
    <mergeCell ref="E361:E362"/>
    <mergeCell ref="D361:D362"/>
    <mergeCell ref="C361:C362"/>
    <mergeCell ref="B361:B362"/>
    <mergeCell ref="M361:M362"/>
    <mergeCell ref="L361:L362"/>
    <mergeCell ref="K361:K362"/>
    <mergeCell ref="J361:J362"/>
    <mergeCell ref="I361:I362"/>
    <mergeCell ref="H361:H362"/>
    <mergeCell ref="P361:P362"/>
    <mergeCell ref="O361:O362"/>
    <mergeCell ref="N361:N362"/>
    <mergeCell ref="Y361:Y362"/>
    <mergeCell ref="T361:T362"/>
    <mergeCell ref="S361:S362"/>
    <mergeCell ref="R361:R362"/>
    <mergeCell ref="Q361:Q362"/>
    <mergeCell ref="D363:D365"/>
    <mergeCell ref="C363:C365"/>
    <mergeCell ref="B363:B365"/>
    <mergeCell ref="A363:A365"/>
    <mergeCell ref="J363:J365"/>
    <mergeCell ref="I363:I365"/>
    <mergeCell ref="H363:H365"/>
    <mergeCell ref="G363:G365"/>
    <mergeCell ref="F363:F365"/>
    <mergeCell ref="E363:E365"/>
    <mergeCell ref="P363:P365"/>
    <mergeCell ref="O363:O365"/>
    <mergeCell ref="N363:N365"/>
    <mergeCell ref="M363:M365"/>
    <mergeCell ref="L363:L365"/>
    <mergeCell ref="K363:K365"/>
    <mergeCell ref="Y363:Y365"/>
    <mergeCell ref="T363:T365"/>
    <mergeCell ref="S363:S365"/>
    <mergeCell ref="R363:R365"/>
    <mergeCell ref="Q363:Q365"/>
    <mergeCell ref="E366:E367"/>
    <mergeCell ref="P366:P367"/>
    <mergeCell ref="O366:O367"/>
    <mergeCell ref="N366:N367"/>
    <mergeCell ref="M366:M367"/>
    <mergeCell ref="D366:D367"/>
    <mergeCell ref="C366:C367"/>
    <mergeCell ref="B366:B367"/>
    <mergeCell ref="A366:A367"/>
    <mergeCell ref="K366:K367"/>
    <mergeCell ref="J366:J367"/>
    <mergeCell ref="I366:I367"/>
    <mergeCell ref="H366:H367"/>
    <mergeCell ref="G366:G367"/>
    <mergeCell ref="F366:F367"/>
    <mergeCell ref="L366:L367"/>
    <mergeCell ref="Y366:Y367"/>
    <mergeCell ref="T366:T367"/>
    <mergeCell ref="S366:S367"/>
    <mergeCell ref="R366:R367"/>
    <mergeCell ref="Q366:Q367"/>
    <mergeCell ref="F368:F369"/>
    <mergeCell ref="E368:E369"/>
    <mergeCell ref="D368:D369"/>
    <mergeCell ref="C368:C369"/>
    <mergeCell ref="B368:B369"/>
    <mergeCell ref="A368:A369"/>
    <mergeCell ref="L368:L369"/>
    <mergeCell ref="K368:K369"/>
    <mergeCell ref="J368:J369"/>
    <mergeCell ref="I368:I369"/>
    <mergeCell ref="H368:H369"/>
    <mergeCell ref="G368:G369"/>
    <mergeCell ref="P368:P369"/>
    <mergeCell ref="O368:O369"/>
    <mergeCell ref="N368:N369"/>
    <mergeCell ref="M368:M369"/>
    <mergeCell ref="A370:A371"/>
    <mergeCell ref="Y368:Y369"/>
    <mergeCell ref="T368:T369"/>
    <mergeCell ref="S368:S369"/>
    <mergeCell ref="R368:R369"/>
    <mergeCell ref="Q368:Q369"/>
    <mergeCell ref="G370:G371"/>
    <mergeCell ref="F370:F371"/>
    <mergeCell ref="E370:E371"/>
    <mergeCell ref="D370:D371"/>
    <mergeCell ref="C370:C371"/>
    <mergeCell ref="B370:B371"/>
    <mergeCell ref="M370:M371"/>
    <mergeCell ref="L370:L371"/>
    <mergeCell ref="K370:K371"/>
    <mergeCell ref="J370:J371"/>
    <mergeCell ref="I370:I371"/>
    <mergeCell ref="H370:H371"/>
    <mergeCell ref="P370:P371"/>
    <mergeCell ref="O370:O371"/>
    <mergeCell ref="N370:N371"/>
    <mergeCell ref="Y370:Y371"/>
    <mergeCell ref="T370:T371"/>
    <mergeCell ref="S370:S371"/>
    <mergeCell ref="R370:R371"/>
    <mergeCell ref="Q370:Q371"/>
    <mergeCell ref="D372:D373"/>
    <mergeCell ref="C372:C373"/>
    <mergeCell ref="B372:B373"/>
    <mergeCell ref="A372:A373"/>
    <mergeCell ref="J372:J373"/>
    <mergeCell ref="I372:I373"/>
    <mergeCell ref="H372:H373"/>
    <mergeCell ref="G372:G373"/>
    <mergeCell ref="F372:F373"/>
    <mergeCell ref="E372:E373"/>
    <mergeCell ref="P372:P373"/>
    <mergeCell ref="O372:O373"/>
    <mergeCell ref="N372:N373"/>
    <mergeCell ref="M372:M373"/>
    <mergeCell ref="L372:L373"/>
    <mergeCell ref="K372:K373"/>
    <mergeCell ref="Y372:Y373"/>
    <mergeCell ref="T372:T373"/>
    <mergeCell ref="S372:S373"/>
    <mergeCell ref="R372:R373"/>
    <mergeCell ref="Q372:Q373"/>
    <mergeCell ref="E374:E375"/>
    <mergeCell ref="P374:P375"/>
    <mergeCell ref="O374:O375"/>
    <mergeCell ref="N374:N375"/>
    <mergeCell ref="M374:M375"/>
    <mergeCell ref="D374:D375"/>
    <mergeCell ref="C374:C375"/>
    <mergeCell ref="B374:B375"/>
    <mergeCell ref="A374:A375"/>
    <mergeCell ref="K374:K375"/>
    <mergeCell ref="J374:J375"/>
    <mergeCell ref="I374:I375"/>
    <mergeCell ref="H374:H375"/>
    <mergeCell ref="G374:G375"/>
    <mergeCell ref="F374:F375"/>
    <mergeCell ref="L374:L375"/>
    <mergeCell ref="Y374:Y375"/>
    <mergeCell ref="T374:T375"/>
    <mergeCell ref="S374:S375"/>
    <mergeCell ref="R374:R375"/>
    <mergeCell ref="Q374:Q375"/>
    <mergeCell ref="F376:F377"/>
    <mergeCell ref="E376:E377"/>
    <mergeCell ref="D376:D377"/>
    <mergeCell ref="C376:C377"/>
    <mergeCell ref="B376:B377"/>
    <mergeCell ref="A376:A377"/>
    <mergeCell ref="L376:L377"/>
    <mergeCell ref="K376:K377"/>
    <mergeCell ref="J376:J377"/>
    <mergeCell ref="I376:I377"/>
    <mergeCell ref="H376:H377"/>
    <mergeCell ref="G376:G377"/>
    <mergeCell ref="P376:P377"/>
    <mergeCell ref="O376:O377"/>
    <mergeCell ref="N376:N377"/>
    <mergeCell ref="M376:M377"/>
    <mergeCell ref="A378:A379"/>
    <mergeCell ref="Y376:Y377"/>
    <mergeCell ref="T376:T377"/>
    <mergeCell ref="S376:S377"/>
    <mergeCell ref="R376:R377"/>
    <mergeCell ref="Q376:Q377"/>
    <mergeCell ref="G378:G379"/>
    <mergeCell ref="F378:F379"/>
    <mergeCell ref="E378:E379"/>
    <mergeCell ref="D378:D379"/>
    <mergeCell ref="C378:C379"/>
    <mergeCell ref="B378:B379"/>
    <mergeCell ref="M378:M379"/>
    <mergeCell ref="L378:L379"/>
    <mergeCell ref="K378:K379"/>
    <mergeCell ref="J378:J379"/>
    <mergeCell ref="I378:I379"/>
    <mergeCell ref="H378:H379"/>
    <mergeCell ref="P378:P379"/>
    <mergeCell ref="O378:O379"/>
    <mergeCell ref="N378:N379"/>
    <mergeCell ref="Y378:Y379"/>
    <mergeCell ref="T378:T379"/>
    <mergeCell ref="S378:S379"/>
    <mergeCell ref="R378:R379"/>
    <mergeCell ref="Q378:Q379"/>
    <mergeCell ref="D380:D381"/>
    <mergeCell ref="C380:C381"/>
    <mergeCell ref="B380:B381"/>
    <mergeCell ref="A380:A381"/>
    <mergeCell ref="J380:J381"/>
    <mergeCell ref="I380:I381"/>
    <mergeCell ref="H380:H381"/>
    <mergeCell ref="G380:G381"/>
    <mergeCell ref="F380:F381"/>
    <mergeCell ref="E380:E381"/>
    <mergeCell ref="P380:P381"/>
    <mergeCell ref="O380:O381"/>
    <mergeCell ref="N380:N381"/>
    <mergeCell ref="M380:M381"/>
    <mergeCell ref="L380:L381"/>
    <mergeCell ref="K380:K381"/>
    <mergeCell ref="Y380:Y381"/>
    <mergeCell ref="T380:T381"/>
    <mergeCell ref="S380:S381"/>
    <mergeCell ref="R380:R381"/>
    <mergeCell ref="Q380:Q381"/>
    <mergeCell ref="E382:E383"/>
    <mergeCell ref="P382:P383"/>
    <mergeCell ref="O382:O383"/>
    <mergeCell ref="N382:N383"/>
    <mergeCell ref="M382:M383"/>
    <mergeCell ref="D382:D383"/>
    <mergeCell ref="C382:C383"/>
    <mergeCell ref="B382:B383"/>
    <mergeCell ref="A382:A383"/>
    <mergeCell ref="K382:K383"/>
    <mergeCell ref="J382:J383"/>
    <mergeCell ref="I382:I383"/>
    <mergeCell ref="H382:H383"/>
    <mergeCell ref="G382:G383"/>
    <mergeCell ref="F382:F383"/>
    <mergeCell ref="L382:L383"/>
    <mergeCell ref="Y382:Y383"/>
    <mergeCell ref="T382:T383"/>
    <mergeCell ref="S382:S383"/>
    <mergeCell ref="R382:R383"/>
    <mergeCell ref="Q382:Q383"/>
    <mergeCell ref="F384:F385"/>
    <mergeCell ref="E384:E385"/>
    <mergeCell ref="D384:D385"/>
    <mergeCell ref="C384:C385"/>
    <mergeCell ref="B384:B385"/>
    <mergeCell ref="A384:A385"/>
    <mergeCell ref="L384:L385"/>
    <mergeCell ref="K384:K385"/>
    <mergeCell ref="J384:J385"/>
    <mergeCell ref="I384:I385"/>
    <mergeCell ref="H384:H385"/>
    <mergeCell ref="G384:G385"/>
    <mergeCell ref="P384:P385"/>
    <mergeCell ref="O384:O385"/>
    <mergeCell ref="N384:N385"/>
    <mergeCell ref="M384:M385"/>
    <mergeCell ref="A386:A387"/>
    <mergeCell ref="Y384:Y385"/>
    <mergeCell ref="T384:T385"/>
    <mergeCell ref="S384:S385"/>
    <mergeCell ref="R384:R385"/>
    <mergeCell ref="Q384:Q385"/>
    <mergeCell ref="G386:G387"/>
    <mergeCell ref="F386:F387"/>
    <mergeCell ref="E386:E387"/>
    <mergeCell ref="D386:D387"/>
    <mergeCell ref="C386:C387"/>
    <mergeCell ref="B386:B387"/>
    <mergeCell ref="M386:M387"/>
    <mergeCell ref="L386:L387"/>
    <mergeCell ref="K386:K387"/>
    <mergeCell ref="J386:J387"/>
    <mergeCell ref="I386:I387"/>
    <mergeCell ref="H386:H387"/>
    <mergeCell ref="P386:P387"/>
    <mergeCell ref="O386:O387"/>
    <mergeCell ref="N386:N387"/>
    <mergeCell ref="Y386:Y387"/>
    <mergeCell ref="T386:T387"/>
    <mergeCell ref="S386:S387"/>
    <mergeCell ref="R386:R387"/>
    <mergeCell ref="Q386:Q387"/>
    <mergeCell ref="D389:D391"/>
    <mergeCell ref="C389:C391"/>
    <mergeCell ref="B389:B391"/>
    <mergeCell ref="A389:A391"/>
    <mergeCell ref="J389:J391"/>
    <mergeCell ref="I389:I391"/>
    <mergeCell ref="H389:H391"/>
    <mergeCell ref="G389:G391"/>
    <mergeCell ref="F389:F391"/>
    <mergeCell ref="E389:E391"/>
    <mergeCell ref="P389:P391"/>
    <mergeCell ref="O389:O391"/>
    <mergeCell ref="N389:N391"/>
    <mergeCell ref="M389:M391"/>
    <mergeCell ref="L389:L391"/>
    <mergeCell ref="K389:K391"/>
    <mergeCell ref="Y389:Y391"/>
    <mergeCell ref="T389:T391"/>
    <mergeCell ref="S389:S391"/>
    <mergeCell ref="R389:R391"/>
    <mergeCell ref="Q389:Q391"/>
    <mergeCell ref="E392:E393"/>
    <mergeCell ref="P392:P393"/>
    <mergeCell ref="O392:O393"/>
    <mergeCell ref="N392:N393"/>
    <mergeCell ref="M392:M393"/>
    <mergeCell ref="D392:D393"/>
    <mergeCell ref="C392:C393"/>
    <mergeCell ref="B392:B393"/>
    <mergeCell ref="A392:A393"/>
    <mergeCell ref="K392:K393"/>
    <mergeCell ref="J392:J393"/>
    <mergeCell ref="I392:I393"/>
    <mergeCell ref="H392:H393"/>
    <mergeCell ref="G392:G393"/>
    <mergeCell ref="F392:F393"/>
    <mergeCell ref="L392:L393"/>
    <mergeCell ref="Y392:Y393"/>
    <mergeCell ref="T392:T393"/>
    <mergeCell ref="S392:S393"/>
    <mergeCell ref="R392:R393"/>
    <mergeCell ref="Q392:Q393"/>
    <mergeCell ref="F394:F395"/>
    <mergeCell ref="E394:E395"/>
    <mergeCell ref="D394:D395"/>
    <mergeCell ref="C394:C395"/>
    <mergeCell ref="B394:B395"/>
    <mergeCell ref="A394:A395"/>
    <mergeCell ref="L394:L395"/>
    <mergeCell ref="K394:K395"/>
    <mergeCell ref="J394:J395"/>
    <mergeCell ref="I394:I395"/>
    <mergeCell ref="H394:H395"/>
    <mergeCell ref="G394:G395"/>
    <mergeCell ref="P394:P395"/>
    <mergeCell ref="O394:O395"/>
    <mergeCell ref="N394:N395"/>
    <mergeCell ref="M394:M395"/>
    <mergeCell ref="A396:A397"/>
    <mergeCell ref="Y394:Y395"/>
    <mergeCell ref="T394:T395"/>
    <mergeCell ref="S394:S395"/>
    <mergeCell ref="R394:R395"/>
    <mergeCell ref="Q394:Q395"/>
    <mergeCell ref="G396:G397"/>
    <mergeCell ref="F396:F397"/>
    <mergeCell ref="E396:E397"/>
    <mergeCell ref="D396:D397"/>
    <mergeCell ref="C396:C397"/>
    <mergeCell ref="B396:B397"/>
    <mergeCell ref="M396:M397"/>
    <mergeCell ref="L396:L397"/>
    <mergeCell ref="K396:K397"/>
    <mergeCell ref="J396:J397"/>
    <mergeCell ref="I396:I397"/>
    <mergeCell ref="H396:H397"/>
    <mergeCell ref="P396:P397"/>
    <mergeCell ref="O396:O397"/>
    <mergeCell ref="N396:N397"/>
    <mergeCell ref="Y396:Y397"/>
    <mergeCell ref="T396:T397"/>
    <mergeCell ref="S396:S397"/>
    <mergeCell ref="R396:R397"/>
    <mergeCell ref="Q396:Q397"/>
    <mergeCell ref="D411:D412"/>
    <mergeCell ref="C411:C412"/>
    <mergeCell ref="B411:B412"/>
    <mergeCell ref="A411:A412"/>
    <mergeCell ref="J411:J412"/>
    <mergeCell ref="I411:I412"/>
    <mergeCell ref="H411:H412"/>
    <mergeCell ref="G411:G412"/>
    <mergeCell ref="F411:F412"/>
    <mergeCell ref="E411:E412"/>
    <mergeCell ref="P411:P412"/>
    <mergeCell ref="O411:O412"/>
    <mergeCell ref="N411:N412"/>
    <mergeCell ref="M411:M412"/>
    <mergeCell ref="L411:L412"/>
    <mergeCell ref="K411:K412"/>
    <mergeCell ref="Y411:Y412"/>
    <mergeCell ref="T411:T412"/>
    <mergeCell ref="S411:S412"/>
    <mergeCell ref="R411:R412"/>
    <mergeCell ref="Q411:Q412"/>
    <mergeCell ref="E413:E414"/>
    <mergeCell ref="P413:P414"/>
    <mergeCell ref="O413:O414"/>
    <mergeCell ref="N413:N414"/>
    <mergeCell ref="M413:M414"/>
    <mergeCell ref="D413:D414"/>
    <mergeCell ref="C413:C414"/>
    <mergeCell ref="B413:B414"/>
    <mergeCell ref="A413:A414"/>
    <mergeCell ref="K413:K414"/>
    <mergeCell ref="J413:J414"/>
    <mergeCell ref="I413:I414"/>
    <mergeCell ref="H413:H414"/>
    <mergeCell ref="G413:G414"/>
    <mergeCell ref="F413:F414"/>
    <mergeCell ref="L413:L414"/>
    <mergeCell ref="Y413:Y414"/>
    <mergeCell ref="T413:T414"/>
    <mergeCell ref="S413:S414"/>
    <mergeCell ref="R413:R414"/>
    <mergeCell ref="Q413:Q414"/>
    <mergeCell ref="F420:F421"/>
    <mergeCell ref="E420:E421"/>
    <mergeCell ref="D420:D421"/>
    <mergeCell ref="C420:C421"/>
    <mergeCell ref="B420:B421"/>
    <mergeCell ref="A420:A421"/>
    <mergeCell ref="L420:L421"/>
    <mergeCell ref="K420:K421"/>
    <mergeCell ref="J420:J421"/>
    <mergeCell ref="I420:I421"/>
    <mergeCell ref="H420:H421"/>
    <mergeCell ref="G420:G421"/>
    <mergeCell ref="P420:P421"/>
    <mergeCell ref="O420:O421"/>
    <mergeCell ref="N420:N421"/>
    <mergeCell ref="M420:M421"/>
    <mergeCell ref="A425:A426"/>
    <mergeCell ref="Y420:Y421"/>
    <mergeCell ref="T420:T421"/>
    <mergeCell ref="S420:S421"/>
    <mergeCell ref="R420:R421"/>
    <mergeCell ref="Q420:Q421"/>
    <mergeCell ref="G425:G426"/>
    <mergeCell ref="F425:F426"/>
    <mergeCell ref="E425:E426"/>
    <mergeCell ref="D425:D426"/>
    <mergeCell ref="C425:C426"/>
    <mergeCell ref="B425:B426"/>
    <mergeCell ref="M425:M426"/>
    <mergeCell ref="L425:L426"/>
    <mergeCell ref="K425:K426"/>
    <mergeCell ref="J425:J426"/>
    <mergeCell ref="I425:I426"/>
    <mergeCell ref="H425:H426"/>
    <mergeCell ref="P425:P426"/>
    <mergeCell ref="O425:O426"/>
    <mergeCell ref="N425:N426"/>
    <mergeCell ref="Y425:Y426"/>
    <mergeCell ref="T425:T426"/>
    <mergeCell ref="S425:S426"/>
    <mergeCell ref="R425:R426"/>
    <mergeCell ref="Q425:Q426"/>
    <mergeCell ref="D427:D428"/>
    <mergeCell ref="C427:C428"/>
    <mergeCell ref="B427:B428"/>
    <mergeCell ref="A427:A428"/>
    <mergeCell ref="J427:J428"/>
    <mergeCell ref="I427:I428"/>
    <mergeCell ref="H427:H428"/>
    <mergeCell ref="G427:G428"/>
    <mergeCell ref="F427:F428"/>
    <mergeCell ref="E427:E428"/>
    <mergeCell ref="P427:P428"/>
    <mergeCell ref="O427:O428"/>
    <mergeCell ref="N427:N428"/>
    <mergeCell ref="M427:M428"/>
    <mergeCell ref="L427:L428"/>
    <mergeCell ref="K427:K428"/>
    <mergeCell ref="Y427:Y428"/>
    <mergeCell ref="T427:T428"/>
    <mergeCell ref="S427:S428"/>
    <mergeCell ref="R427:R428"/>
    <mergeCell ref="Q427:Q428"/>
    <mergeCell ref="E429:E430"/>
    <mergeCell ref="P429:P430"/>
    <mergeCell ref="O429:O430"/>
    <mergeCell ref="N429:N430"/>
    <mergeCell ref="M429:M430"/>
    <mergeCell ref="D429:D430"/>
    <mergeCell ref="C429:C430"/>
    <mergeCell ref="B429:B430"/>
    <mergeCell ref="A429:A430"/>
    <mergeCell ref="K429:K430"/>
    <mergeCell ref="J429:J430"/>
    <mergeCell ref="I429:I430"/>
    <mergeCell ref="H429:H430"/>
    <mergeCell ref="G429:G430"/>
    <mergeCell ref="F429:F430"/>
    <mergeCell ref="L429:L430"/>
    <mergeCell ref="Y429:Y430"/>
    <mergeCell ref="T429:T430"/>
    <mergeCell ref="S429:S430"/>
    <mergeCell ref="R429:R430"/>
    <mergeCell ref="Q429:Q430"/>
    <mergeCell ref="F431:F432"/>
    <mergeCell ref="E431:E432"/>
    <mergeCell ref="D431:D432"/>
    <mergeCell ref="C431:C432"/>
    <mergeCell ref="B431:B432"/>
    <mergeCell ref="A431:A432"/>
    <mergeCell ref="L431:L432"/>
    <mergeCell ref="K431:K432"/>
    <mergeCell ref="J431:J432"/>
    <mergeCell ref="I431:I432"/>
    <mergeCell ref="H431:H432"/>
    <mergeCell ref="G431:G432"/>
    <mergeCell ref="P431:P432"/>
    <mergeCell ref="O431:O432"/>
    <mergeCell ref="N431:N432"/>
    <mergeCell ref="M431:M432"/>
    <mergeCell ref="A433:A434"/>
    <mergeCell ref="Y431:Y432"/>
    <mergeCell ref="T431:T432"/>
    <mergeCell ref="S431:S432"/>
    <mergeCell ref="R431:R432"/>
    <mergeCell ref="Q431:Q432"/>
    <mergeCell ref="G433:G434"/>
    <mergeCell ref="F433:F434"/>
    <mergeCell ref="E433:E434"/>
    <mergeCell ref="D433:D434"/>
    <mergeCell ref="C433:C434"/>
    <mergeCell ref="B433:B434"/>
    <mergeCell ref="M433:M434"/>
    <mergeCell ref="L433:L434"/>
    <mergeCell ref="K433:K434"/>
    <mergeCell ref="J433:J434"/>
    <mergeCell ref="I433:I434"/>
    <mergeCell ref="H433:H434"/>
    <mergeCell ref="P433:P434"/>
    <mergeCell ref="O433:O434"/>
    <mergeCell ref="N433:N434"/>
    <mergeCell ref="Y433:Y434"/>
    <mergeCell ref="T433:T434"/>
    <mergeCell ref="S433:S434"/>
    <mergeCell ref="R433:R434"/>
    <mergeCell ref="Q433:Q434"/>
    <mergeCell ref="D435:D436"/>
    <mergeCell ref="C435:C436"/>
    <mergeCell ref="B435:B436"/>
    <mergeCell ref="A435:A436"/>
    <mergeCell ref="J435:J436"/>
    <mergeCell ref="I435:I436"/>
    <mergeCell ref="H435:H436"/>
    <mergeCell ref="G435:G436"/>
    <mergeCell ref="F435:F436"/>
    <mergeCell ref="E435:E436"/>
    <mergeCell ref="P435:P436"/>
    <mergeCell ref="O435:O436"/>
    <mergeCell ref="N435:N436"/>
    <mergeCell ref="M435:M436"/>
    <mergeCell ref="L435:L436"/>
    <mergeCell ref="K435:K436"/>
    <mergeCell ref="Y435:Y436"/>
    <mergeCell ref="T435:T436"/>
    <mergeCell ref="S435:S436"/>
    <mergeCell ref="R435:R436"/>
    <mergeCell ref="Q435:Q436"/>
    <mergeCell ref="E437:E438"/>
    <mergeCell ref="P437:P438"/>
    <mergeCell ref="O437:O438"/>
    <mergeCell ref="N437:N438"/>
    <mergeCell ref="M437:M438"/>
    <mergeCell ref="D437:D438"/>
    <mergeCell ref="C437:C438"/>
    <mergeCell ref="B437:B438"/>
    <mergeCell ref="A437:A438"/>
    <mergeCell ref="K437:K438"/>
    <mergeCell ref="J437:J438"/>
    <mergeCell ref="I437:I438"/>
    <mergeCell ref="H437:H438"/>
    <mergeCell ref="G437:G438"/>
    <mergeCell ref="F437:F438"/>
    <mergeCell ref="L437:L438"/>
    <mergeCell ref="Y437:Y438"/>
    <mergeCell ref="T437:T438"/>
    <mergeCell ref="S437:S438"/>
    <mergeCell ref="R437:R438"/>
    <mergeCell ref="Q437:Q438"/>
    <mergeCell ref="F439:F440"/>
    <mergeCell ref="E439:E440"/>
    <mergeCell ref="D439:D440"/>
    <mergeCell ref="C439:C440"/>
    <mergeCell ref="B439:B440"/>
    <mergeCell ref="A439:A440"/>
    <mergeCell ref="L439:L440"/>
    <mergeCell ref="K439:K440"/>
    <mergeCell ref="J439:J440"/>
    <mergeCell ref="I439:I440"/>
    <mergeCell ref="H439:H440"/>
    <mergeCell ref="G439:G440"/>
    <mergeCell ref="P439:P440"/>
    <mergeCell ref="O439:O440"/>
    <mergeCell ref="N439:N440"/>
    <mergeCell ref="M439:M440"/>
    <mergeCell ref="A441:A442"/>
    <mergeCell ref="Y439:Y440"/>
    <mergeCell ref="T439:T440"/>
    <mergeCell ref="S439:S440"/>
    <mergeCell ref="R439:R440"/>
    <mergeCell ref="Q439:Q440"/>
    <mergeCell ref="G441:G442"/>
    <mergeCell ref="F441:F442"/>
    <mergeCell ref="E441:E442"/>
    <mergeCell ref="D441:D442"/>
    <mergeCell ref="C441:C442"/>
    <mergeCell ref="B441:B442"/>
    <mergeCell ref="M441:M442"/>
    <mergeCell ref="L441:L442"/>
    <mergeCell ref="K441:K442"/>
    <mergeCell ref="J441:J442"/>
    <mergeCell ref="I441:I442"/>
    <mergeCell ref="H441:H442"/>
    <mergeCell ref="P441:P442"/>
    <mergeCell ref="O441:O442"/>
    <mergeCell ref="N441:N442"/>
    <mergeCell ref="Y441:Y442"/>
    <mergeCell ref="T441:T442"/>
    <mergeCell ref="S441:S442"/>
    <mergeCell ref="R441:R442"/>
    <mergeCell ref="Q441:Q442"/>
    <mergeCell ref="D444:D445"/>
    <mergeCell ref="C444:C445"/>
    <mergeCell ref="B444:B445"/>
    <mergeCell ref="A444:A445"/>
    <mergeCell ref="J444:J445"/>
    <mergeCell ref="I444:I445"/>
    <mergeCell ref="H444:H445"/>
    <mergeCell ref="G444:G445"/>
    <mergeCell ref="F444:F445"/>
    <mergeCell ref="E444:E445"/>
    <mergeCell ref="P444:P445"/>
    <mergeCell ref="O444:O445"/>
    <mergeCell ref="N444:N445"/>
    <mergeCell ref="M444:M445"/>
    <mergeCell ref="L444:L445"/>
    <mergeCell ref="K444:K445"/>
    <mergeCell ref="Y444:Y445"/>
    <mergeCell ref="T444:T445"/>
    <mergeCell ref="S444:S445"/>
    <mergeCell ref="R444:R445"/>
    <mergeCell ref="Q444:Q445"/>
    <mergeCell ref="E446:E447"/>
    <mergeCell ref="P446:P447"/>
    <mergeCell ref="O446:O447"/>
    <mergeCell ref="N446:N447"/>
    <mergeCell ref="M446:M447"/>
    <mergeCell ref="D446:D447"/>
    <mergeCell ref="C446:C447"/>
    <mergeCell ref="B446:B447"/>
    <mergeCell ref="A446:A447"/>
    <mergeCell ref="K446:K447"/>
    <mergeCell ref="J446:J447"/>
    <mergeCell ref="I446:I447"/>
    <mergeCell ref="H446:H447"/>
    <mergeCell ref="G446:G447"/>
    <mergeCell ref="F446:F447"/>
    <mergeCell ref="L446:L447"/>
    <mergeCell ref="Y446:Y447"/>
    <mergeCell ref="T446:T447"/>
    <mergeCell ref="S446:S447"/>
    <mergeCell ref="R446:R447"/>
    <mergeCell ref="Q446:Q447"/>
    <mergeCell ref="F448:F449"/>
    <mergeCell ref="E448:E449"/>
    <mergeCell ref="D448:D449"/>
    <mergeCell ref="C448:C449"/>
    <mergeCell ref="B448:B449"/>
    <mergeCell ref="A448:A449"/>
    <mergeCell ref="L448:L449"/>
    <mergeCell ref="K448:K449"/>
    <mergeCell ref="J448:J449"/>
    <mergeCell ref="I448:I449"/>
    <mergeCell ref="H448:H449"/>
    <mergeCell ref="G448:G449"/>
    <mergeCell ref="P448:P449"/>
    <mergeCell ref="O448:O449"/>
    <mergeCell ref="N448:N449"/>
    <mergeCell ref="M448:M449"/>
    <mergeCell ref="A450:A451"/>
    <mergeCell ref="Y448:Y449"/>
    <mergeCell ref="T448:T449"/>
    <mergeCell ref="S448:S449"/>
    <mergeCell ref="R448:R449"/>
    <mergeCell ref="Q448:Q449"/>
    <mergeCell ref="G450:G451"/>
    <mergeCell ref="F450:F451"/>
    <mergeCell ref="E450:E451"/>
    <mergeCell ref="D450:D451"/>
    <mergeCell ref="C450:C451"/>
    <mergeCell ref="B450:B451"/>
    <mergeCell ref="M450:M451"/>
    <mergeCell ref="L450:L451"/>
    <mergeCell ref="K450:K451"/>
    <mergeCell ref="J450:J451"/>
    <mergeCell ref="I450:I451"/>
    <mergeCell ref="H450:H451"/>
    <mergeCell ref="P450:P451"/>
    <mergeCell ref="O450:O451"/>
    <mergeCell ref="N450:N451"/>
    <mergeCell ref="Y450:Y451"/>
    <mergeCell ref="T450:T451"/>
    <mergeCell ref="S450:S451"/>
    <mergeCell ref="R450:R451"/>
    <mergeCell ref="Q450:Q451"/>
    <mergeCell ref="D452:D453"/>
    <mergeCell ref="C452:C453"/>
    <mergeCell ref="B452:B453"/>
    <mergeCell ref="A452:A453"/>
    <mergeCell ref="J452:J453"/>
    <mergeCell ref="I452:I453"/>
    <mergeCell ref="H452:H453"/>
    <mergeCell ref="G452:G453"/>
    <mergeCell ref="F452:F453"/>
    <mergeCell ref="E452:E453"/>
    <mergeCell ref="P452:P453"/>
    <mergeCell ref="O452:O453"/>
    <mergeCell ref="N452:N453"/>
    <mergeCell ref="M452:M453"/>
    <mergeCell ref="L452:L453"/>
    <mergeCell ref="K452:K453"/>
    <mergeCell ref="Y452:Y453"/>
    <mergeCell ref="T452:T453"/>
    <mergeCell ref="S452:S453"/>
    <mergeCell ref="R452:R453"/>
    <mergeCell ref="Q452:Q453"/>
    <mergeCell ref="E454:E455"/>
    <mergeCell ref="P454:P455"/>
    <mergeCell ref="O454:O455"/>
    <mergeCell ref="N454:N455"/>
    <mergeCell ref="M454:M455"/>
    <mergeCell ref="D454:D455"/>
    <mergeCell ref="C454:C455"/>
    <mergeCell ref="B454:B455"/>
    <mergeCell ref="A454:A455"/>
    <mergeCell ref="K454:K455"/>
    <mergeCell ref="J454:J455"/>
    <mergeCell ref="I454:I455"/>
    <mergeCell ref="H454:H455"/>
    <mergeCell ref="G454:G455"/>
    <mergeCell ref="F454:F455"/>
    <mergeCell ref="L454:L455"/>
    <mergeCell ref="Y454:Y455"/>
    <mergeCell ref="T454:T455"/>
    <mergeCell ref="S454:S455"/>
    <mergeCell ref="R454:R455"/>
    <mergeCell ref="Q454:Q455"/>
    <mergeCell ref="F456:F457"/>
    <mergeCell ref="E456:E457"/>
    <mergeCell ref="D456:D457"/>
    <mergeCell ref="C456:C457"/>
    <mergeCell ref="B456:B457"/>
    <mergeCell ref="A456:A457"/>
    <mergeCell ref="L456:L457"/>
    <mergeCell ref="K456:K457"/>
    <mergeCell ref="J456:J457"/>
    <mergeCell ref="I456:I457"/>
    <mergeCell ref="H456:H457"/>
    <mergeCell ref="G456:G457"/>
    <mergeCell ref="P456:P457"/>
    <mergeCell ref="O456:O457"/>
    <mergeCell ref="N456:N457"/>
    <mergeCell ref="M456:M457"/>
    <mergeCell ref="A458:A459"/>
    <mergeCell ref="Y456:Y457"/>
    <mergeCell ref="T456:T457"/>
    <mergeCell ref="S456:S457"/>
    <mergeCell ref="R456:R457"/>
    <mergeCell ref="Q456:Q457"/>
    <mergeCell ref="G458:G459"/>
    <mergeCell ref="F458:F459"/>
    <mergeCell ref="E458:E459"/>
    <mergeCell ref="D458:D459"/>
    <mergeCell ref="C458:C459"/>
    <mergeCell ref="B458:B459"/>
    <mergeCell ref="M458:M459"/>
    <mergeCell ref="L458:L459"/>
    <mergeCell ref="K458:K459"/>
    <mergeCell ref="J458:J459"/>
    <mergeCell ref="I458:I459"/>
    <mergeCell ref="H458:H459"/>
    <mergeCell ref="P458:P459"/>
    <mergeCell ref="O458:O459"/>
    <mergeCell ref="N458:N459"/>
    <mergeCell ref="Y458:Y459"/>
    <mergeCell ref="T458:T459"/>
    <mergeCell ref="S458:S459"/>
    <mergeCell ref="R458:R459"/>
    <mergeCell ref="Q458:Q459"/>
    <mergeCell ref="D460:D461"/>
    <mergeCell ref="C460:C461"/>
    <mergeCell ref="B460:B461"/>
    <mergeCell ref="A460:A461"/>
    <mergeCell ref="J460:J461"/>
    <mergeCell ref="I460:I461"/>
    <mergeCell ref="H460:H461"/>
    <mergeCell ref="G460:G461"/>
    <mergeCell ref="F460:F461"/>
    <mergeCell ref="E460:E461"/>
    <mergeCell ref="P460:P461"/>
    <mergeCell ref="O460:O461"/>
    <mergeCell ref="N460:N461"/>
    <mergeCell ref="M460:M461"/>
    <mergeCell ref="L460:L461"/>
    <mergeCell ref="K460:K461"/>
    <mergeCell ref="Y460:Y461"/>
    <mergeCell ref="T460:T461"/>
    <mergeCell ref="S460:S461"/>
    <mergeCell ref="R460:R461"/>
    <mergeCell ref="Q460:Q461"/>
    <mergeCell ref="E462:E463"/>
    <mergeCell ref="P462:P463"/>
    <mergeCell ref="O462:O463"/>
    <mergeCell ref="N462:N463"/>
    <mergeCell ref="M462:M463"/>
    <mergeCell ref="D462:D463"/>
    <mergeCell ref="C462:C463"/>
    <mergeCell ref="B462:B463"/>
    <mergeCell ref="A462:A463"/>
    <mergeCell ref="K462:K463"/>
    <mergeCell ref="J462:J463"/>
    <mergeCell ref="I462:I463"/>
    <mergeCell ref="H462:H463"/>
    <mergeCell ref="G462:G463"/>
    <mergeCell ref="F462:F463"/>
    <mergeCell ref="L462:L463"/>
    <mergeCell ref="Y462:Y463"/>
    <mergeCell ref="T462:T463"/>
    <mergeCell ref="S462:S463"/>
    <mergeCell ref="R462:R463"/>
    <mergeCell ref="Q462:Q463"/>
    <mergeCell ref="F464:F465"/>
    <mergeCell ref="E464:E465"/>
    <mergeCell ref="D464:D465"/>
    <mergeCell ref="C464:C465"/>
    <mergeCell ref="B464:B465"/>
    <mergeCell ref="A464:A465"/>
    <mergeCell ref="L464:L465"/>
    <mergeCell ref="K464:K465"/>
    <mergeCell ref="J464:J465"/>
    <mergeCell ref="I464:I465"/>
    <mergeCell ref="H464:H465"/>
    <mergeCell ref="G464:G465"/>
    <mergeCell ref="P464:P465"/>
    <mergeCell ref="O464:O465"/>
    <mergeCell ref="N464:N465"/>
    <mergeCell ref="M464:M465"/>
    <mergeCell ref="A466:A467"/>
    <mergeCell ref="Y464:Y465"/>
    <mergeCell ref="T464:T465"/>
    <mergeCell ref="S464:S465"/>
    <mergeCell ref="R464:R465"/>
    <mergeCell ref="Q464:Q465"/>
    <mergeCell ref="G466:G467"/>
    <mergeCell ref="F466:F467"/>
    <mergeCell ref="E466:E467"/>
    <mergeCell ref="D466:D467"/>
    <mergeCell ref="C466:C467"/>
    <mergeCell ref="B466:B467"/>
    <mergeCell ref="M466:M467"/>
    <mergeCell ref="L466:L467"/>
    <mergeCell ref="K466:K467"/>
    <mergeCell ref="J466:J467"/>
    <mergeCell ref="I466:I467"/>
    <mergeCell ref="H466:H467"/>
    <mergeCell ref="P466:P467"/>
    <mergeCell ref="O466:O467"/>
    <mergeCell ref="N466:N467"/>
    <mergeCell ref="Y466:Y467"/>
    <mergeCell ref="T466:T467"/>
    <mergeCell ref="S466:S467"/>
    <mergeCell ref="R466:R467"/>
    <mergeCell ref="Q466:Q467"/>
    <mergeCell ref="D468:D469"/>
    <mergeCell ref="C468:C469"/>
    <mergeCell ref="B468:B469"/>
    <mergeCell ref="A468:A469"/>
    <mergeCell ref="J468:J469"/>
    <mergeCell ref="I468:I469"/>
    <mergeCell ref="H468:H469"/>
    <mergeCell ref="G468:G469"/>
    <mergeCell ref="F468:F469"/>
    <mergeCell ref="E468:E469"/>
    <mergeCell ref="P468:P469"/>
    <mergeCell ref="O468:O469"/>
    <mergeCell ref="N468:N469"/>
    <mergeCell ref="M468:M469"/>
    <mergeCell ref="L468:L469"/>
    <mergeCell ref="K468:K469"/>
    <mergeCell ref="Y468:Y469"/>
    <mergeCell ref="T468:T469"/>
    <mergeCell ref="S468:S469"/>
    <mergeCell ref="R468:R469"/>
    <mergeCell ref="Q468:Q469"/>
    <mergeCell ref="E470:E471"/>
    <mergeCell ref="P470:P471"/>
    <mergeCell ref="O470:O471"/>
    <mergeCell ref="N470:N471"/>
    <mergeCell ref="M470:M471"/>
    <mergeCell ref="D470:D471"/>
    <mergeCell ref="C470:C471"/>
    <mergeCell ref="B470:B471"/>
    <mergeCell ref="A470:A471"/>
    <mergeCell ref="K470:K471"/>
    <mergeCell ref="J470:J471"/>
    <mergeCell ref="I470:I471"/>
    <mergeCell ref="H470:H471"/>
    <mergeCell ref="G470:G471"/>
    <mergeCell ref="F470:F471"/>
    <mergeCell ref="L470:L471"/>
    <mergeCell ref="Y470:Y471"/>
    <mergeCell ref="T470:T471"/>
    <mergeCell ref="S470:S471"/>
    <mergeCell ref="R470:R471"/>
    <mergeCell ref="Q470:Q471"/>
    <mergeCell ref="F472:F473"/>
    <mergeCell ref="E472:E473"/>
    <mergeCell ref="D472:D473"/>
    <mergeCell ref="C472:C473"/>
    <mergeCell ref="B472:B473"/>
    <mergeCell ref="A472:A473"/>
    <mergeCell ref="L472:L473"/>
    <mergeCell ref="K472:K473"/>
    <mergeCell ref="J472:J473"/>
    <mergeCell ref="I472:I473"/>
    <mergeCell ref="H472:H473"/>
    <mergeCell ref="G472:G473"/>
    <mergeCell ref="P472:P473"/>
    <mergeCell ref="O472:O473"/>
    <mergeCell ref="N472:N473"/>
    <mergeCell ref="M472:M473"/>
    <mergeCell ref="A474:A475"/>
    <mergeCell ref="Y472:Y473"/>
    <mergeCell ref="T472:T473"/>
    <mergeCell ref="S472:S473"/>
    <mergeCell ref="R472:R473"/>
    <mergeCell ref="Q472:Q473"/>
    <mergeCell ref="G474:G475"/>
    <mergeCell ref="F474:F475"/>
    <mergeCell ref="E474:E475"/>
    <mergeCell ref="D474:D475"/>
    <mergeCell ref="C474:C475"/>
    <mergeCell ref="B474:B475"/>
    <mergeCell ref="M474:M475"/>
    <mergeCell ref="L474:L475"/>
    <mergeCell ref="K474:K475"/>
    <mergeCell ref="J474:J475"/>
    <mergeCell ref="I474:I475"/>
    <mergeCell ref="H474:H475"/>
    <mergeCell ref="P474:P475"/>
    <mergeCell ref="O474:O475"/>
    <mergeCell ref="N474:N475"/>
    <mergeCell ref="Y474:Y475"/>
    <mergeCell ref="T474:T475"/>
    <mergeCell ref="S474:S475"/>
    <mergeCell ref="R474:R475"/>
    <mergeCell ref="Q474:Q475"/>
    <mergeCell ref="D476:D477"/>
    <mergeCell ref="C476:C477"/>
    <mergeCell ref="B476:B477"/>
    <mergeCell ref="A476:A477"/>
    <mergeCell ref="J476:J477"/>
    <mergeCell ref="I476:I477"/>
    <mergeCell ref="H476:H477"/>
    <mergeCell ref="G476:G477"/>
    <mergeCell ref="F476:F477"/>
    <mergeCell ref="E476:E477"/>
    <mergeCell ref="P476:P477"/>
    <mergeCell ref="O476:O477"/>
    <mergeCell ref="N476:N477"/>
    <mergeCell ref="M476:M477"/>
    <mergeCell ref="L476:L477"/>
    <mergeCell ref="K476:K477"/>
    <mergeCell ref="Y476:Y477"/>
    <mergeCell ref="T476:T477"/>
    <mergeCell ref="S476:S477"/>
    <mergeCell ref="R476:R477"/>
    <mergeCell ref="Q476:Q477"/>
    <mergeCell ref="E483:E484"/>
    <mergeCell ref="P483:P484"/>
    <mergeCell ref="O483:O484"/>
    <mergeCell ref="N483:N484"/>
    <mergeCell ref="M483:M484"/>
    <mergeCell ref="D483:D484"/>
    <mergeCell ref="C483:C484"/>
    <mergeCell ref="B483:B484"/>
    <mergeCell ref="A483:A484"/>
    <mergeCell ref="K483:K484"/>
    <mergeCell ref="J483:J484"/>
    <mergeCell ref="I483:I484"/>
    <mergeCell ref="H483:H484"/>
    <mergeCell ref="G483:G484"/>
    <mergeCell ref="F483:F484"/>
    <mergeCell ref="L483:L484"/>
    <mergeCell ref="Y483:Y484"/>
    <mergeCell ref="T483:T484"/>
    <mergeCell ref="S483:S484"/>
    <mergeCell ref="R483:R484"/>
    <mergeCell ref="Q483:Q484"/>
    <mergeCell ref="F485:F486"/>
    <mergeCell ref="E485:E486"/>
    <mergeCell ref="D485:D486"/>
    <mergeCell ref="C485:C486"/>
    <mergeCell ref="B485:B486"/>
    <mergeCell ref="A485:A486"/>
    <mergeCell ref="L485:L486"/>
    <mergeCell ref="K485:K486"/>
    <mergeCell ref="J485:J486"/>
    <mergeCell ref="I485:I486"/>
    <mergeCell ref="H485:H486"/>
    <mergeCell ref="G485:G486"/>
    <mergeCell ref="P485:P486"/>
    <mergeCell ref="O485:O486"/>
    <mergeCell ref="N485:N486"/>
    <mergeCell ref="M485:M486"/>
    <mergeCell ref="A487:A488"/>
    <mergeCell ref="Y485:Y486"/>
    <mergeCell ref="T485:T486"/>
    <mergeCell ref="S485:S486"/>
    <mergeCell ref="R485:R486"/>
    <mergeCell ref="Q485:Q486"/>
    <mergeCell ref="G487:G488"/>
    <mergeCell ref="F487:F488"/>
    <mergeCell ref="E487:E488"/>
    <mergeCell ref="D487:D488"/>
    <mergeCell ref="C487:C488"/>
    <mergeCell ref="B487:B488"/>
    <mergeCell ref="M487:M488"/>
    <mergeCell ref="L487:L488"/>
    <mergeCell ref="K487:K488"/>
    <mergeCell ref="J487:J488"/>
    <mergeCell ref="I487:I488"/>
    <mergeCell ref="H487:H488"/>
    <mergeCell ref="P487:P488"/>
    <mergeCell ref="O487:O488"/>
    <mergeCell ref="N487:N488"/>
    <mergeCell ref="Y487:Y488"/>
    <mergeCell ref="T487:T488"/>
    <mergeCell ref="S487:S488"/>
    <mergeCell ref="R487:R488"/>
    <mergeCell ref="Q487:Q488"/>
    <mergeCell ref="D493:D494"/>
    <mergeCell ref="C493:C494"/>
    <mergeCell ref="B493:B494"/>
    <mergeCell ref="A493:A494"/>
    <mergeCell ref="J493:J494"/>
    <mergeCell ref="I493:I494"/>
    <mergeCell ref="H493:H494"/>
    <mergeCell ref="G493:G494"/>
    <mergeCell ref="F493:F494"/>
    <mergeCell ref="E493:E494"/>
    <mergeCell ref="P493:P494"/>
    <mergeCell ref="O493:O494"/>
    <mergeCell ref="N493:N494"/>
    <mergeCell ref="M493:M494"/>
    <mergeCell ref="L493:L494"/>
    <mergeCell ref="K493:K494"/>
    <mergeCell ref="Y493:Y494"/>
    <mergeCell ref="T493:T494"/>
    <mergeCell ref="S493:S494"/>
    <mergeCell ref="R493:R494"/>
    <mergeCell ref="Q493:Q494"/>
    <mergeCell ref="E495:E496"/>
    <mergeCell ref="P495:P496"/>
    <mergeCell ref="O495:O496"/>
    <mergeCell ref="N495:N496"/>
    <mergeCell ref="M495:M496"/>
    <mergeCell ref="D495:D496"/>
    <mergeCell ref="C495:C496"/>
    <mergeCell ref="B495:B496"/>
    <mergeCell ref="A495:A496"/>
    <mergeCell ref="K495:K496"/>
    <mergeCell ref="J495:J496"/>
    <mergeCell ref="I495:I496"/>
    <mergeCell ref="H495:H496"/>
    <mergeCell ref="G495:G496"/>
    <mergeCell ref="F495:F496"/>
    <mergeCell ref="L495:L496"/>
    <mergeCell ref="Y495:Y496"/>
    <mergeCell ref="T495:T496"/>
    <mergeCell ref="S495:S496"/>
    <mergeCell ref="R495:R496"/>
    <mergeCell ref="Q495:Q496"/>
    <mergeCell ref="F497:F498"/>
    <mergeCell ref="E497:E498"/>
    <mergeCell ref="D497:D498"/>
    <mergeCell ref="C497:C498"/>
    <mergeCell ref="B497:B498"/>
    <mergeCell ref="A497:A498"/>
    <mergeCell ref="L497:L498"/>
    <mergeCell ref="K497:K498"/>
    <mergeCell ref="J497:J498"/>
    <mergeCell ref="I497:I498"/>
    <mergeCell ref="H497:H498"/>
    <mergeCell ref="G497:G498"/>
    <mergeCell ref="P497:P498"/>
    <mergeCell ref="O497:O498"/>
    <mergeCell ref="N497:N498"/>
    <mergeCell ref="M497:M498"/>
    <mergeCell ref="A499:A500"/>
    <mergeCell ref="Y497:Y498"/>
    <mergeCell ref="T497:T498"/>
    <mergeCell ref="S497:S498"/>
    <mergeCell ref="R497:R498"/>
    <mergeCell ref="Q497:Q498"/>
    <mergeCell ref="G499:G500"/>
    <mergeCell ref="F499:F500"/>
    <mergeCell ref="E499:E500"/>
    <mergeCell ref="D499:D500"/>
    <mergeCell ref="C499:C500"/>
    <mergeCell ref="B499:B500"/>
    <mergeCell ref="M499:M500"/>
    <mergeCell ref="L499:L500"/>
    <mergeCell ref="K499:K500"/>
    <mergeCell ref="J499:J500"/>
    <mergeCell ref="I499:I500"/>
    <mergeCell ref="H499:H500"/>
    <mergeCell ref="P499:P500"/>
    <mergeCell ref="O499:O500"/>
    <mergeCell ref="N499:N500"/>
    <mergeCell ref="Y499:Y500"/>
    <mergeCell ref="T499:T500"/>
    <mergeCell ref="S499:S500"/>
    <mergeCell ref="R499:R500"/>
    <mergeCell ref="Q499:Q500"/>
    <mergeCell ref="D501:D502"/>
    <mergeCell ref="C501:C502"/>
    <mergeCell ref="B501:B502"/>
    <mergeCell ref="A501:A502"/>
    <mergeCell ref="J501:J502"/>
    <mergeCell ref="I501:I502"/>
    <mergeCell ref="H501:H502"/>
    <mergeCell ref="G501:G502"/>
    <mergeCell ref="F501:F502"/>
    <mergeCell ref="E501:E502"/>
    <mergeCell ref="P501:P502"/>
    <mergeCell ref="O501:O502"/>
    <mergeCell ref="N501:N502"/>
    <mergeCell ref="M501:M502"/>
    <mergeCell ref="L501:L502"/>
    <mergeCell ref="K501:K502"/>
    <mergeCell ref="Y501:Y502"/>
    <mergeCell ref="T501:T502"/>
    <mergeCell ref="S501:S502"/>
    <mergeCell ref="R501:R502"/>
    <mergeCell ref="Q501:Q502"/>
    <mergeCell ref="E503:E504"/>
    <mergeCell ref="P503:P504"/>
    <mergeCell ref="O503:O504"/>
    <mergeCell ref="N503:N504"/>
    <mergeCell ref="M503:M504"/>
    <mergeCell ref="D503:D504"/>
    <mergeCell ref="C503:C504"/>
    <mergeCell ref="B503:B504"/>
    <mergeCell ref="A503:A504"/>
    <mergeCell ref="K503:K504"/>
    <mergeCell ref="J503:J504"/>
    <mergeCell ref="I503:I504"/>
    <mergeCell ref="H503:H504"/>
    <mergeCell ref="G503:G504"/>
    <mergeCell ref="F503:F504"/>
    <mergeCell ref="L503:L504"/>
    <mergeCell ref="Y503:Y504"/>
    <mergeCell ref="T503:T504"/>
    <mergeCell ref="S503:S504"/>
    <mergeCell ref="R503:R504"/>
    <mergeCell ref="Q503:Q504"/>
    <mergeCell ref="F505:F506"/>
    <mergeCell ref="E505:E506"/>
    <mergeCell ref="D505:D506"/>
    <mergeCell ref="C505:C506"/>
    <mergeCell ref="B505:B506"/>
    <mergeCell ref="A505:A506"/>
    <mergeCell ref="L505:L506"/>
    <mergeCell ref="K505:K506"/>
    <mergeCell ref="J505:J506"/>
    <mergeCell ref="I505:I506"/>
    <mergeCell ref="H505:H506"/>
    <mergeCell ref="G505:G506"/>
    <mergeCell ref="P505:P506"/>
    <mergeCell ref="O505:O506"/>
    <mergeCell ref="N505:N506"/>
    <mergeCell ref="M505:M506"/>
    <mergeCell ref="A507:A508"/>
    <mergeCell ref="Y505:Y506"/>
    <mergeCell ref="T505:T506"/>
    <mergeCell ref="S505:S506"/>
    <mergeCell ref="R505:R506"/>
    <mergeCell ref="Q505:Q506"/>
    <mergeCell ref="G507:G508"/>
    <mergeCell ref="F507:F508"/>
    <mergeCell ref="E507:E508"/>
    <mergeCell ref="D507:D508"/>
    <mergeCell ref="C507:C508"/>
    <mergeCell ref="B507:B508"/>
    <mergeCell ref="M507:M508"/>
    <mergeCell ref="L507:L508"/>
    <mergeCell ref="K507:K508"/>
    <mergeCell ref="J507:J508"/>
    <mergeCell ref="I507:I508"/>
    <mergeCell ref="H507:H508"/>
    <mergeCell ref="P507:P508"/>
    <mergeCell ref="O507:O508"/>
    <mergeCell ref="N507:N508"/>
    <mergeCell ref="Y507:Y508"/>
    <mergeCell ref="T507:T508"/>
    <mergeCell ref="S507:S508"/>
    <mergeCell ref="R507:R508"/>
    <mergeCell ref="Q507:Q508"/>
    <mergeCell ref="D509:D510"/>
    <mergeCell ref="C509:C510"/>
    <mergeCell ref="B509:B510"/>
    <mergeCell ref="A509:A510"/>
    <mergeCell ref="J509:J510"/>
    <mergeCell ref="I509:I510"/>
    <mergeCell ref="H509:H510"/>
    <mergeCell ref="G509:G510"/>
    <mergeCell ref="F509:F510"/>
    <mergeCell ref="E509:E510"/>
    <mergeCell ref="P509:P510"/>
    <mergeCell ref="O509:O510"/>
    <mergeCell ref="N509:N510"/>
    <mergeCell ref="M509:M510"/>
    <mergeCell ref="L509:L510"/>
    <mergeCell ref="K509:K510"/>
    <mergeCell ref="Y509:Y510"/>
    <mergeCell ref="T509:T510"/>
    <mergeCell ref="S509:S510"/>
    <mergeCell ref="R509:R510"/>
    <mergeCell ref="Q509:Q510"/>
    <mergeCell ref="E511:E512"/>
    <mergeCell ref="P511:P512"/>
    <mergeCell ref="O511:O512"/>
    <mergeCell ref="N511:N512"/>
    <mergeCell ref="M511:M512"/>
    <mergeCell ref="D511:D512"/>
    <mergeCell ref="C511:C512"/>
    <mergeCell ref="B511:B512"/>
    <mergeCell ref="A511:A512"/>
    <mergeCell ref="K511:K512"/>
    <mergeCell ref="J511:J512"/>
    <mergeCell ref="I511:I512"/>
    <mergeCell ref="H511:H512"/>
    <mergeCell ref="G511:G512"/>
    <mergeCell ref="F511:F512"/>
    <mergeCell ref="L511:L512"/>
    <mergeCell ref="Y511:Y512"/>
    <mergeCell ref="T511:T512"/>
    <mergeCell ref="S511:S512"/>
    <mergeCell ref="R511:R512"/>
    <mergeCell ref="Q511:Q512"/>
    <mergeCell ref="F513:F514"/>
    <mergeCell ref="E513:E514"/>
    <mergeCell ref="D513:D514"/>
    <mergeCell ref="C513:C514"/>
    <mergeCell ref="B513:B514"/>
    <mergeCell ref="A513:A514"/>
    <mergeCell ref="L513:L514"/>
    <mergeCell ref="K513:K514"/>
    <mergeCell ref="J513:J514"/>
    <mergeCell ref="I513:I514"/>
    <mergeCell ref="H513:H514"/>
    <mergeCell ref="G513:G514"/>
    <mergeCell ref="P513:P514"/>
    <mergeCell ref="O513:O514"/>
    <mergeCell ref="N513:N514"/>
    <mergeCell ref="M513:M514"/>
    <mergeCell ref="A515:A516"/>
    <mergeCell ref="Y513:Y514"/>
    <mergeCell ref="T513:T514"/>
    <mergeCell ref="S513:S514"/>
    <mergeCell ref="R513:R514"/>
    <mergeCell ref="Q513:Q514"/>
    <mergeCell ref="G515:G516"/>
    <mergeCell ref="F515:F516"/>
    <mergeCell ref="E515:E516"/>
    <mergeCell ref="D515:D516"/>
    <mergeCell ref="C515:C516"/>
    <mergeCell ref="B515:B516"/>
    <mergeCell ref="M515:M516"/>
    <mergeCell ref="L515:L516"/>
    <mergeCell ref="K515:K516"/>
    <mergeCell ref="J515:J516"/>
    <mergeCell ref="I515:I516"/>
    <mergeCell ref="H515:H516"/>
    <mergeCell ref="P515:P516"/>
    <mergeCell ref="O515:O516"/>
    <mergeCell ref="N515:N516"/>
    <mergeCell ref="Y515:Y516"/>
    <mergeCell ref="T515:T516"/>
    <mergeCell ref="S515:S516"/>
    <mergeCell ref="R515:R516"/>
    <mergeCell ref="Q515:Q516"/>
    <mergeCell ref="D517:D518"/>
    <mergeCell ref="C517:C518"/>
    <mergeCell ref="B517:B518"/>
    <mergeCell ref="A517:A518"/>
    <mergeCell ref="J517:J518"/>
    <mergeCell ref="I517:I518"/>
    <mergeCell ref="H517:H518"/>
    <mergeCell ref="G517:G518"/>
    <mergeCell ref="F517:F518"/>
    <mergeCell ref="E517:E518"/>
    <mergeCell ref="P517:P518"/>
    <mergeCell ref="O517:O518"/>
    <mergeCell ref="N517:N518"/>
    <mergeCell ref="M517:M518"/>
    <mergeCell ref="L517:L518"/>
    <mergeCell ref="K517:K518"/>
    <mergeCell ref="Y517:Y518"/>
    <mergeCell ref="T517:T518"/>
    <mergeCell ref="S517:S518"/>
    <mergeCell ref="R517:R518"/>
    <mergeCell ref="Q517:Q518"/>
    <mergeCell ref="E519:E520"/>
    <mergeCell ref="P519:P520"/>
    <mergeCell ref="O519:O520"/>
    <mergeCell ref="N519:N520"/>
    <mergeCell ref="M519:M520"/>
    <mergeCell ref="D519:D520"/>
    <mergeCell ref="C519:C520"/>
    <mergeCell ref="B519:B520"/>
    <mergeCell ref="A519:A520"/>
    <mergeCell ref="K519:K520"/>
    <mergeCell ref="J519:J520"/>
    <mergeCell ref="I519:I520"/>
    <mergeCell ref="H519:H520"/>
    <mergeCell ref="G519:G520"/>
    <mergeCell ref="F519:F520"/>
    <mergeCell ref="L519:L520"/>
    <mergeCell ref="Y519:Y520"/>
    <mergeCell ref="T519:T520"/>
    <mergeCell ref="S519:S520"/>
    <mergeCell ref="R519:R520"/>
    <mergeCell ref="Q519:Q520"/>
    <mergeCell ref="F521:F522"/>
    <mergeCell ref="E521:E522"/>
    <mergeCell ref="D521:D522"/>
    <mergeCell ref="C521:C522"/>
    <mergeCell ref="B521:B522"/>
    <mergeCell ref="A521:A522"/>
    <mergeCell ref="L521:L522"/>
    <mergeCell ref="K521:K522"/>
    <mergeCell ref="J521:J522"/>
    <mergeCell ref="I521:I522"/>
    <mergeCell ref="H521:H522"/>
    <mergeCell ref="G521:G522"/>
    <mergeCell ref="P521:P522"/>
    <mergeCell ref="O521:O522"/>
    <mergeCell ref="N521:N522"/>
    <mergeCell ref="M521:M522"/>
    <mergeCell ref="A523:A524"/>
    <mergeCell ref="Y521:Y522"/>
    <mergeCell ref="T521:T522"/>
    <mergeCell ref="S521:S522"/>
    <mergeCell ref="R521:R522"/>
    <mergeCell ref="Q521:Q522"/>
    <mergeCell ref="G523:G524"/>
    <mergeCell ref="F523:F524"/>
    <mergeCell ref="E523:E524"/>
    <mergeCell ref="D523:D524"/>
    <mergeCell ref="C523:C524"/>
    <mergeCell ref="B523:B524"/>
    <mergeCell ref="M523:M524"/>
    <mergeCell ref="L523:L524"/>
    <mergeCell ref="K523:K524"/>
    <mergeCell ref="J523:J524"/>
    <mergeCell ref="I523:I524"/>
    <mergeCell ref="H523:H524"/>
    <mergeCell ref="P523:P524"/>
    <mergeCell ref="O523:O524"/>
    <mergeCell ref="N523:N524"/>
    <mergeCell ref="Y523:Y524"/>
    <mergeCell ref="T523:T524"/>
    <mergeCell ref="S523:S524"/>
    <mergeCell ref="R523:R524"/>
    <mergeCell ref="Q523:Q524"/>
    <mergeCell ref="D525:D526"/>
    <mergeCell ref="C525:C526"/>
    <mergeCell ref="B525:B526"/>
    <mergeCell ref="A525:A526"/>
    <mergeCell ref="J525:J526"/>
    <mergeCell ref="I525:I526"/>
    <mergeCell ref="H525:H526"/>
    <mergeCell ref="G525:G526"/>
    <mergeCell ref="F525:F526"/>
    <mergeCell ref="E525:E526"/>
    <mergeCell ref="P525:P526"/>
    <mergeCell ref="O525:O526"/>
    <mergeCell ref="N525:N526"/>
    <mergeCell ref="M525:M526"/>
    <mergeCell ref="L525:L526"/>
    <mergeCell ref="K525:K526"/>
    <mergeCell ref="Y525:Y526"/>
    <mergeCell ref="T525:T526"/>
    <mergeCell ref="S525:S526"/>
    <mergeCell ref="R525:R526"/>
    <mergeCell ref="Q525:Q526"/>
    <mergeCell ref="E527:E528"/>
    <mergeCell ref="P527:P528"/>
    <mergeCell ref="O527:O528"/>
    <mergeCell ref="N527:N528"/>
    <mergeCell ref="M527:M528"/>
    <mergeCell ref="D527:D528"/>
    <mergeCell ref="C527:C528"/>
    <mergeCell ref="B527:B528"/>
    <mergeCell ref="A527:A528"/>
    <mergeCell ref="K527:K528"/>
    <mergeCell ref="J527:J528"/>
    <mergeCell ref="I527:I528"/>
    <mergeCell ref="H527:H528"/>
    <mergeCell ref="G527:G528"/>
    <mergeCell ref="F527:F528"/>
    <mergeCell ref="L527:L528"/>
    <mergeCell ref="Y527:Y528"/>
    <mergeCell ref="T527:T528"/>
    <mergeCell ref="S527:S528"/>
    <mergeCell ref="R527:R528"/>
    <mergeCell ref="Q527:Q528"/>
    <mergeCell ref="F529:F530"/>
    <mergeCell ref="E529:E530"/>
    <mergeCell ref="D529:D530"/>
    <mergeCell ref="C529:C530"/>
    <mergeCell ref="B529:B530"/>
    <mergeCell ref="A529:A530"/>
    <mergeCell ref="L529:L530"/>
    <mergeCell ref="K529:K530"/>
    <mergeCell ref="J529:J530"/>
    <mergeCell ref="I529:I530"/>
    <mergeCell ref="H529:H530"/>
    <mergeCell ref="G529:G530"/>
    <mergeCell ref="P529:P530"/>
    <mergeCell ref="O529:O530"/>
    <mergeCell ref="N529:N530"/>
    <mergeCell ref="M529:M530"/>
    <mergeCell ref="A532:A533"/>
    <mergeCell ref="Y529:Y530"/>
    <mergeCell ref="T529:T530"/>
    <mergeCell ref="S529:S530"/>
    <mergeCell ref="R529:R530"/>
    <mergeCell ref="Q529:Q530"/>
    <mergeCell ref="G532:G533"/>
    <mergeCell ref="F532:F533"/>
    <mergeCell ref="E532:E533"/>
    <mergeCell ref="D532:D533"/>
    <mergeCell ref="C532:C533"/>
    <mergeCell ref="B532:B533"/>
    <mergeCell ref="M532:M533"/>
    <mergeCell ref="L532:L533"/>
    <mergeCell ref="K532:K533"/>
    <mergeCell ref="J532:J533"/>
    <mergeCell ref="I532:I533"/>
    <mergeCell ref="H532:H533"/>
    <mergeCell ref="P532:P533"/>
    <mergeCell ref="O532:O533"/>
    <mergeCell ref="N532:N533"/>
    <mergeCell ref="Y532:Y533"/>
    <mergeCell ref="T532:T533"/>
    <mergeCell ref="S532:S533"/>
    <mergeCell ref="R532:R533"/>
    <mergeCell ref="Q532:Q533"/>
    <mergeCell ref="D534:D535"/>
    <mergeCell ref="C534:C535"/>
    <mergeCell ref="B534:B535"/>
    <mergeCell ref="A534:A535"/>
    <mergeCell ref="J534:J535"/>
    <mergeCell ref="I534:I535"/>
    <mergeCell ref="H534:H535"/>
    <mergeCell ref="G534:G535"/>
    <mergeCell ref="F534:F535"/>
    <mergeCell ref="E534:E535"/>
    <mergeCell ref="P534:P535"/>
    <mergeCell ref="O534:O535"/>
    <mergeCell ref="N534:N535"/>
    <mergeCell ref="M534:M535"/>
    <mergeCell ref="L534:L535"/>
    <mergeCell ref="K534:K535"/>
    <mergeCell ref="Y534:Y535"/>
    <mergeCell ref="T534:T535"/>
    <mergeCell ref="S534:S535"/>
    <mergeCell ref="R534:R535"/>
    <mergeCell ref="Q534:Q535"/>
    <mergeCell ref="E536:E537"/>
    <mergeCell ref="P536:P537"/>
    <mergeCell ref="O536:O537"/>
    <mergeCell ref="N536:N537"/>
    <mergeCell ref="M536:M537"/>
    <mergeCell ref="D536:D537"/>
    <mergeCell ref="C536:C537"/>
    <mergeCell ref="B536:B537"/>
    <mergeCell ref="A536:A537"/>
    <mergeCell ref="K536:K537"/>
    <mergeCell ref="J536:J537"/>
    <mergeCell ref="I536:I537"/>
    <mergeCell ref="H536:H537"/>
    <mergeCell ref="G536:G537"/>
    <mergeCell ref="F536:F537"/>
    <mergeCell ref="L536:L537"/>
    <mergeCell ref="Y536:Y537"/>
    <mergeCell ref="T536:T537"/>
    <mergeCell ref="S536:S537"/>
    <mergeCell ref="R536:R537"/>
    <mergeCell ref="Q536:Q537"/>
    <mergeCell ref="F538:F539"/>
    <mergeCell ref="E538:E539"/>
    <mergeCell ref="D538:D539"/>
    <mergeCell ref="C538:C539"/>
    <mergeCell ref="B538:B539"/>
    <mergeCell ref="A538:A539"/>
    <mergeCell ref="L538:L539"/>
    <mergeCell ref="K538:K539"/>
    <mergeCell ref="J538:J539"/>
    <mergeCell ref="I538:I539"/>
    <mergeCell ref="H538:H539"/>
    <mergeCell ref="G538:G539"/>
    <mergeCell ref="P538:P539"/>
    <mergeCell ref="O538:O539"/>
    <mergeCell ref="N538:N539"/>
    <mergeCell ref="M538:M539"/>
    <mergeCell ref="A540:A541"/>
    <mergeCell ref="Y538:Y539"/>
    <mergeCell ref="T538:T539"/>
    <mergeCell ref="S538:S539"/>
    <mergeCell ref="R538:R539"/>
    <mergeCell ref="Q538:Q539"/>
    <mergeCell ref="G540:G541"/>
    <mergeCell ref="F540:F541"/>
    <mergeCell ref="E540:E541"/>
    <mergeCell ref="D540:D541"/>
    <mergeCell ref="C540:C541"/>
    <mergeCell ref="B540:B541"/>
    <mergeCell ref="M540:M541"/>
    <mergeCell ref="L540:L541"/>
    <mergeCell ref="K540:K541"/>
    <mergeCell ref="J540:J541"/>
    <mergeCell ref="I540:I541"/>
    <mergeCell ref="H540:H541"/>
    <mergeCell ref="P540:P541"/>
    <mergeCell ref="O540:O541"/>
    <mergeCell ref="N540:N541"/>
    <mergeCell ref="Y540:Y541"/>
    <mergeCell ref="T540:T541"/>
    <mergeCell ref="S540:S541"/>
    <mergeCell ref="R540:R541"/>
    <mergeCell ref="Q540:Q541"/>
    <mergeCell ref="D542:D543"/>
    <mergeCell ref="C542:C543"/>
    <mergeCell ref="B542:B543"/>
    <mergeCell ref="A542:A543"/>
    <mergeCell ref="J542:J543"/>
    <mergeCell ref="I542:I543"/>
    <mergeCell ref="H542:H543"/>
    <mergeCell ref="G542:G543"/>
    <mergeCell ref="F542:F543"/>
    <mergeCell ref="E542:E543"/>
    <mergeCell ref="P542:P543"/>
    <mergeCell ref="O542:O543"/>
    <mergeCell ref="N542:N543"/>
    <mergeCell ref="M542:M543"/>
    <mergeCell ref="L542:L543"/>
    <mergeCell ref="K542:K543"/>
    <mergeCell ref="Y542:Y543"/>
    <mergeCell ref="T542:T543"/>
    <mergeCell ref="S542:S543"/>
    <mergeCell ref="R542:R543"/>
    <mergeCell ref="Q542:Q543"/>
    <mergeCell ref="E544:E545"/>
    <mergeCell ref="P544:P545"/>
    <mergeCell ref="O544:O545"/>
    <mergeCell ref="N544:N545"/>
    <mergeCell ref="M544:M545"/>
    <mergeCell ref="D544:D545"/>
    <mergeCell ref="C544:C545"/>
    <mergeCell ref="B544:B545"/>
    <mergeCell ref="A544:A545"/>
    <mergeCell ref="K544:K545"/>
    <mergeCell ref="J544:J545"/>
    <mergeCell ref="I544:I545"/>
    <mergeCell ref="H544:H545"/>
    <mergeCell ref="G544:G545"/>
    <mergeCell ref="F544:F545"/>
    <mergeCell ref="L544:L545"/>
    <mergeCell ref="Y544:Y545"/>
    <mergeCell ref="T544:T545"/>
    <mergeCell ref="S544:S545"/>
    <mergeCell ref="R544:R545"/>
    <mergeCell ref="Q544:Q545"/>
    <mergeCell ref="F546:F547"/>
    <mergeCell ref="E546:E547"/>
    <mergeCell ref="D546:D547"/>
    <mergeCell ref="C546:C547"/>
    <mergeCell ref="B546:B547"/>
    <mergeCell ref="A546:A547"/>
    <mergeCell ref="L546:L547"/>
    <mergeCell ref="K546:K547"/>
    <mergeCell ref="J546:J547"/>
    <mergeCell ref="I546:I547"/>
    <mergeCell ref="H546:H547"/>
    <mergeCell ref="G546:G547"/>
    <mergeCell ref="P546:P547"/>
    <mergeCell ref="O546:O547"/>
    <mergeCell ref="N546:N547"/>
    <mergeCell ref="M546:M547"/>
    <mergeCell ref="A548:A549"/>
    <mergeCell ref="Y546:Y547"/>
    <mergeCell ref="T546:T547"/>
    <mergeCell ref="S546:S547"/>
    <mergeCell ref="R546:R547"/>
    <mergeCell ref="Q546:Q547"/>
    <mergeCell ref="G548:G549"/>
    <mergeCell ref="F548:F549"/>
    <mergeCell ref="E548:E549"/>
    <mergeCell ref="D548:D549"/>
    <mergeCell ref="C548:C549"/>
    <mergeCell ref="B548:B549"/>
    <mergeCell ref="M548:M549"/>
    <mergeCell ref="L548:L549"/>
    <mergeCell ref="K548:K549"/>
    <mergeCell ref="J548:J549"/>
    <mergeCell ref="I548:I549"/>
    <mergeCell ref="H548:H549"/>
    <mergeCell ref="P548:P549"/>
    <mergeCell ref="O548:O549"/>
    <mergeCell ref="N548:N549"/>
    <mergeCell ref="Y548:Y549"/>
    <mergeCell ref="T548:T549"/>
    <mergeCell ref="S548:S549"/>
    <mergeCell ref="R548:R549"/>
    <mergeCell ref="Q548:Q549"/>
  </mergeCells>
  <printOptions horizontalCentered="1"/>
  <pageMargins left="0.3" right="0.3" top="0.61" bottom="0.37" header="0.1" footer="0.1"/>
  <pageSetup firstPageNumber="1" useFirstPageNumber="1" horizontalDpi="600" verticalDpi="600" orientation="landscape" pageOrder="overThenDown" paperSize="9" scale="52" r:id="rId1"/>
  <headerFooter alignWithMargins="0">
    <oddHeader>&amp;C&amp;P</oddHeader>
    <oddFooter>&amp;C&amp;F</oddFooter>
  </headerFooter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56"/>
  <sheetViews>
    <sheetView tabSelected="1" zoomScalePageLayoutView="0" workbookViewId="0" topLeftCell="A534">
      <selection activeCell="N13" sqref="N13"/>
    </sheetView>
  </sheetViews>
  <sheetFormatPr defaultColWidth="9.140625" defaultRowHeight="12.75"/>
  <cols>
    <col min="1" max="1" width="4.57421875" style="7" customWidth="1"/>
    <col min="2" max="2" width="19.421875" style="7" customWidth="1"/>
    <col min="3" max="3" width="4.00390625" style="7" bestFit="1" customWidth="1"/>
    <col min="4" max="4" width="3.8515625" style="7" customWidth="1"/>
    <col min="5" max="5" width="18.00390625" style="7" customWidth="1"/>
    <col min="6" max="6" width="13.140625" style="7" customWidth="1"/>
    <col min="7" max="12" width="3.140625" style="7" bestFit="1" customWidth="1"/>
    <col min="13" max="13" width="6.140625" style="7" bestFit="1" customWidth="1"/>
    <col min="14" max="14" width="27.7109375" style="7" customWidth="1"/>
    <col min="15" max="15" width="9.421875" style="7" customWidth="1"/>
    <col min="16" max="16" width="47.28125" style="7" customWidth="1"/>
    <col min="17" max="16384" width="9.140625" style="7" customWidth="1"/>
  </cols>
  <sheetData>
    <row r="1" spans="1:14" s="28" customFormat="1" ht="18">
      <c r="A1" s="37" t="s">
        <v>847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="28" customFormat="1" ht="12.75">
      <c r="A2" s="27"/>
    </row>
    <row r="3" spans="1:16" ht="87.75">
      <c r="A3" s="13" t="s">
        <v>514</v>
      </c>
      <c r="B3" s="8" t="s">
        <v>2</v>
      </c>
      <c r="C3" s="8" t="s">
        <v>143</v>
      </c>
      <c r="D3" s="8" t="s">
        <v>4</v>
      </c>
      <c r="E3" s="8" t="s">
        <v>144</v>
      </c>
      <c r="F3" s="8" t="s">
        <v>145</v>
      </c>
      <c r="G3" s="14" t="s">
        <v>837</v>
      </c>
      <c r="H3" s="14" t="s">
        <v>838</v>
      </c>
      <c r="I3" s="14" t="s">
        <v>839</v>
      </c>
      <c r="J3" s="14" t="s">
        <v>840</v>
      </c>
      <c r="K3" s="14" t="s">
        <v>836</v>
      </c>
      <c r="L3" s="14" t="s">
        <v>841</v>
      </c>
      <c r="M3" s="8" t="s">
        <v>161</v>
      </c>
      <c r="N3" s="8" t="s">
        <v>162</v>
      </c>
      <c r="O3" s="30" t="s">
        <v>846</v>
      </c>
      <c r="P3" s="29" t="s">
        <v>6</v>
      </c>
    </row>
    <row r="4" spans="1:16" ht="48">
      <c r="A4" s="4" t="s">
        <v>515</v>
      </c>
      <c r="B4" s="9" t="s">
        <v>9</v>
      </c>
      <c r="C4" s="9">
        <v>11</v>
      </c>
      <c r="D4" s="9"/>
      <c r="E4" s="9" t="s">
        <v>10</v>
      </c>
      <c r="F4" s="9" t="s">
        <v>165</v>
      </c>
      <c r="G4" s="9">
        <v>5</v>
      </c>
      <c r="H4" s="9">
        <v>3</v>
      </c>
      <c r="I4" s="9"/>
      <c r="J4" s="9"/>
      <c r="K4" s="9">
        <v>5</v>
      </c>
      <c r="L4" s="9">
        <v>2</v>
      </c>
      <c r="M4" s="9" t="s">
        <v>169</v>
      </c>
      <c r="N4" s="9" t="s">
        <v>170</v>
      </c>
      <c r="O4" s="31"/>
      <c r="P4" s="9" t="str">
        <f>HYPERLINK("http://www.stromypodkontrolou.cz/map/?draw_selection_circle=1#%7B%22lat%22%3A%2049.676800985%2C%20%22lng%22%3A%2018.6748648648%2C%20%22zoom%22%3A%2020%7D")</f>
        <v>http://www.stromypodkontrolou.cz/map/?draw_selection_circle=1#%7B%22lat%22%3A%2049.676800985%2C%20%22lng%22%3A%2018.6748648648%2C%20%22zoom%22%3A%2020%7D</v>
      </c>
    </row>
    <row r="5" spans="1:16" ht="12.75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 t="s">
        <v>171</v>
      </c>
      <c r="N5" s="9" t="s">
        <v>172</v>
      </c>
      <c r="O5" s="31"/>
      <c r="P5" s="9"/>
    </row>
    <row r="6" spans="1:16" s="16" customFormat="1" ht="48">
      <c r="A6" s="15" t="s">
        <v>516</v>
      </c>
      <c r="B6" s="10" t="s">
        <v>9</v>
      </c>
      <c r="C6" s="10">
        <v>10</v>
      </c>
      <c r="D6" s="10"/>
      <c r="E6" s="10" t="s">
        <v>11</v>
      </c>
      <c r="F6" s="10" t="s">
        <v>173</v>
      </c>
      <c r="G6" s="10">
        <v>4</v>
      </c>
      <c r="H6" s="10">
        <v>4</v>
      </c>
      <c r="I6" s="10">
        <v>4</v>
      </c>
      <c r="J6" s="10">
        <v>3</v>
      </c>
      <c r="K6" s="10">
        <v>4</v>
      </c>
      <c r="L6" s="10">
        <v>3</v>
      </c>
      <c r="M6" s="10" t="s">
        <v>169</v>
      </c>
      <c r="N6" s="10" t="s">
        <v>170</v>
      </c>
      <c r="O6" s="31"/>
      <c r="P6" s="10" t="str">
        <f>HYPERLINK("http://www.stromypodkontrolou.cz/map/?draw_selection_circle=1#%7B%22lat%22%3A%2049.676890588%2C%20%22lng%22%3A%2018.6747652878%2C%20%22zoom%22%3A%2020%7D")</f>
        <v>http://www.stromypodkontrolou.cz/map/?draw_selection_circle=1#%7B%22lat%22%3A%2049.676890588%2C%20%22lng%22%3A%2018.6747652878%2C%20%22zoom%22%3A%2020%7D</v>
      </c>
    </row>
    <row r="7" spans="1:16" s="16" customFormat="1" ht="12.75">
      <c r="A7" s="17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 t="s">
        <v>171</v>
      </c>
      <c r="N7" s="10" t="s">
        <v>172</v>
      </c>
      <c r="O7" s="31"/>
      <c r="P7" s="10"/>
    </row>
    <row r="8" spans="1:16" ht="48">
      <c r="A8" s="4" t="s">
        <v>517</v>
      </c>
      <c r="B8" s="9" t="s">
        <v>12</v>
      </c>
      <c r="C8" s="9">
        <v>48</v>
      </c>
      <c r="D8" s="9"/>
      <c r="E8" s="9" t="s">
        <v>13</v>
      </c>
      <c r="F8" s="9" t="s">
        <v>175</v>
      </c>
      <c r="G8" s="9">
        <v>16</v>
      </c>
      <c r="H8" s="9"/>
      <c r="I8" s="9"/>
      <c r="J8" s="9"/>
      <c r="K8" s="9">
        <v>10</v>
      </c>
      <c r="L8" s="9">
        <v>4</v>
      </c>
      <c r="M8" s="9" t="s">
        <v>169</v>
      </c>
      <c r="N8" s="9" t="s">
        <v>170</v>
      </c>
      <c r="O8" s="31"/>
      <c r="P8" s="9" t="str">
        <f>HYPERLINK("http://www.stromypodkontrolou.cz/map/?draw_selection_circle=1#%7B%22lat%22%3A%2049.6805365859916%2C%20%22lng%22%3A%2018.6788598850171%2C%20%22zoom%22%3A%2020%7D")</f>
        <v>http://www.stromypodkontrolou.cz/map/?draw_selection_circle=1#%7B%22lat%22%3A%2049.6805365859916%2C%20%22lng%22%3A%2018.6788598850171%2C%20%22zoom%22%3A%2020%7D</v>
      </c>
    </row>
    <row r="9" spans="1:16" ht="12.7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 t="s">
        <v>171</v>
      </c>
      <c r="N9" s="9" t="s">
        <v>172</v>
      </c>
      <c r="O9" s="31"/>
      <c r="P9" s="9"/>
    </row>
    <row r="10" spans="1:16" s="16" customFormat="1" ht="48">
      <c r="A10" s="18" t="s">
        <v>518</v>
      </c>
      <c r="B10" s="10" t="s">
        <v>12</v>
      </c>
      <c r="C10" s="10">
        <v>46</v>
      </c>
      <c r="D10" s="10"/>
      <c r="E10" s="10" t="s">
        <v>13</v>
      </c>
      <c r="F10" s="10" t="s">
        <v>175</v>
      </c>
      <c r="G10" s="10">
        <v>19</v>
      </c>
      <c r="H10" s="10"/>
      <c r="I10" s="10"/>
      <c r="J10" s="10"/>
      <c r="K10" s="10">
        <v>10</v>
      </c>
      <c r="L10" s="10">
        <v>6</v>
      </c>
      <c r="M10" s="10" t="s">
        <v>169</v>
      </c>
      <c r="N10" s="10" t="s">
        <v>170</v>
      </c>
      <c r="O10" s="31"/>
      <c r="P10" s="10" t="str">
        <f>HYPERLINK("http://www.stromypodkontrolou.cz/map/?draw_selection_circle=1#%7B%22lat%22%3A%2049.680497598601%2C%20%22lng%22%3A%2018.6788223869253%2C%20%22zoom%22%3A%2020%7D")</f>
        <v>http://www.stromypodkontrolou.cz/map/?draw_selection_circle=1#%7B%22lat%22%3A%2049.680497598601%2C%20%22lng%22%3A%2018.6788223869253%2C%20%22zoom%22%3A%2020%7D</v>
      </c>
    </row>
    <row r="11" spans="1:16" ht="48">
      <c r="A11" s="19" t="s">
        <v>519</v>
      </c>
      <c r="B11" s="9" t="s">
        <v>12</v>
      </c>
      <c r="C11" s="9">
        <v>31</v>
      </c>
      <c r="D11" s="9"/>
      <c r="E11" s="9" t="s">
        <v>14</v>
      </c>
      <c r="F11" s="9" t="s">
        <v>180</v>
      </c>
      <c r="G11" s="9">
        <v>25</v>
      </c>
      <c r="H11" s="9"/>
      <c r="I11" s="9"/>
      <c r="J11" s="9"/>
      <c r="K11" s="9">
        <v>14</v>
      </c>
      <c r="L11" s="9">
        <v>6</v>
      </c>
      <c r="M11" s="9" t="s">
        <v>169</v>
      </c>
      <c r="N11" s="9" t="s">
        <v>170</v>
      </c>
      <c r="O11" s="31"/>
      <c r="P11" s="9" t="str">
        <f>HYPERLINK("http://www.stromypodkontrolou.cz/map/?draw_selection_circle=1#%7B%22lat%22%3A%2049.6805512741652%2C%20%22lng%22%3A%2018.677999628743%2C%20%22zoom%22%3A%2020%7D")</f>
        <v>http://www.stromypodkontrolou.cz/map/?draw_selection_circle=1#%7B%22lat%22%3A%2049.6805512741652%2C%20%22lng%22%3A%2018.677999628743%2C%20%22zoom%22%3A%2020%7D</v>
      </c>
    </row>
    <row r="12" spans="1:16" s="16" customFormat="1" ht="48">
      <c r="A12" s="18" t="s">
        <v>520</v>
      </c>
      <c r="B12" s="10" t="s">
        <v>12</v>
      </c>
      <c r="C12" s="10">
        <v>37</v>
      </c>
      <c r="D12" s="10"/>
      <c r="E12" s="10" t="s">
        <v>15</v>
      </c>
      <c r="F12" s="10" t="s">
        <v>183</v>
      </c>
      <c r="G12" s="10">
        <v>23</v>
      </c>
      <c r="H12" s="10"/>
      <c r="I12" s="10"/>
      <c r="J12" s="10"/>
      <c r="K12" s="10">
        <v>16</v>
      </c>
      <c r="L12" s="10">
        <v>8</v>
      </c>
      <c r="M12" s="10" t="s">
        <v>169</v>
      </c>
      <c r="N12" s="10" t="s">
        <v>170</v>
      </c>
      <c r="O12" s="31"/>
      <c r="P12" s="10" t="str">
        <f>HYPERLINK("http://www.stromypodkontrolou.cz/map/?draw_selection_circle=1#%7B%22lat%22%3A%2049.6804285866%2C%20%22lng%22%3A%2018.6782578198%2C%20%22zoom%22%3A%2020%7D")</f>
        <v>http://www.stromypodkontrolou.cz/map/?draw_selection_circle=1#%7B%22lat%22%3A%2049.6804285866%2C%20%22lng%22%3A%2018.6782578198%2C%20%22zoom%22%3A%2020%7D</v>
      </c>
    </row>
    <row r="13" spans="1:16" ht="48">
      <c r="A13" s="4" t="s">
        <v>521</v>
      </c>
      <c r="B13" s="9" t="s">
        <v>16</v>
      </c>
      <c r="C13" s="9">
        <v>75</v>
      </c>
      <c r="D13" s="9"/>
      <c r="E13" s="9" t="s">
        <v>17</v>
      </c>
      <c r="F13" s="9" t="s">
        <v>185</v>
      </c>
      <c r="G13" s="9">
        <v>21</v>
      </c>
      <c r="H13" s="9"/>
      <c r="I13" s="9"/>
      <c r="J13" s="9"/>
      <c r="K13" s="9">
        <v>4</v>
      </c>
      <c r="L13" s="9">
        <v>6</v>
      </c>
      <c r="M13" s="9" t="s">
        <v>169</v>
      </c>
      <c r="N13" s="9" t="s">
        <v>170</v>
      </c>
      <c r="O13" s="31"/>
      <c r="P13" s="9" t="str">
        <f>HYPERLINK("http://www.stromypodkontrolou.cz/map/?draw_selection_circle=1#%7B%22lat%22%3A%2049.6711094558755%2C%20%22lng%22%3A%2018.6692078889121%2C%20%22zoom%22%3A%2020%7D")</f>
        <v>http://www.stromypodkontrolou.cz/map/?draw_selection_circle=1#%7B%22lat%22%3A%2049.6711094558755%2C%20%22lng%22%3A%2018.6692078889121%2C%20%22zoom%22%3A%2020%7D</v>
      </c>
    </row>
    <row r="14" spans="1:16" ht="12.75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 t="s">
        <v>171</v>
      </c>
      <c r="N14" s="9" t="s">
        <v>172</v>
      </c>
      <c r="O14" s="31"/>
      <c r="P14" s="9"/>
    </row>
    <row r="15" spans="1:16" s="16" customFormat="1" ht="48">
      <c r="A15" s="15" t="s">
        <v>522</v>
      </c>
      <c r="B15" s="10" t="s">
        <v>18</v>
      </c>
      <c r="C15" s="10">
        <v>17</v>
      </c>
      <c r="D15" s="10"/>
      <c r="E15" s="10" t="s">
        <v>17</v>
      </c>
      <c r="F15" s="10" t="s">
        <v>185</v>
      </c>
      <c r="G15" s="10">
        <v>21</v>
      </c>
      <c r="H15" s="10"/>
      <c r="I15" s="10"/>
      <c r="J15" s="10"/>
      <c r="K15" s="10">
        <v>5</v>
      </c>
      <c r="L15" s="10">
        <v>6</v>
      </c>
      <c r="M15" s="10" t="s">
        <v>191</v>
      </c>
      <c r="N15" s="10" t="s">
        <v>192</v>
      </c>
      <c r="O15" s="31"/>
      <c r="P15" s="10" t="str">
        <f>HYPERLINK("http://www.stromypodkontrolou.cz/map/?draw_selection_circle=1#%7B%22lat%22%3A%2049.6672559372%2C%20%22lng%22%3A%2018.682710849%2C%20%22zoom%22%3A%2020%7D")</f>
        <v>http://www.stromypodkontrolou.cz/map/?draw_selection_circle=1#%7B%22lat%22%3A%2049.6672559372%2C%20%22lng%22%3A%2018.682710849%2C%20%22zoom%22%3A%2020%7D</v>
      </c>
    </row>
    <row r="16" spans="1:16" s="16" customFormat="1" ht="12.75">
      <c r="A16" s="2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 t="s">
        <v>171</v>
      </c>
      <c r="N16" s="10" t="s">
        <v>172</v>
      </c>
      <c r="O16" s="31"/>
      <c r="P16" s="10"/>
    </row>
    <row r="17" spans="1:16" ht="48">
      <c r="A17" s="4" t="s">
        <v>523</v>
      </c>
      <c r="B17" s="9" t="s">
        <v>18</v>
      </c>
      <c r="C17" s="9">
        <v>6</v>
      </c>
      <c r="D17" s="9"/>
      <c r="E17" s="9" t="s">
        <v>17</v>
      </c>
      <c r="F17" s="9" t="s">
        <v>185</v>
      </c>
      <c r="G17" s="9">
        <v>17</v>
      </c>
      <c r="H17" s="9"/>
      <c r="I17" s="9"/>
      <c r="J17" s="9"/>
      <c r="K17" s="9">
        <v>4</v>
      </c>
      <c r="L17" s="9">
        <v>6</v>
      </c>
      <c r="M17" s="9" t="s">
        <v>191</v>
      </c>
      <c r="N17" s="9" t="s">
        <v>192</v>
      </c>
      <c r="O17" s="31"/>
      <c r="P17" s="9" t="str">
        <f>HYPERLINK("http://www.stromypodkontrolou.cz/map/?draw_selection_circle=1#%7B%22lat%22%3A%2049.66698323%2C%20%22lng%22%3A%2018.6819407899%2C%20%22zoom%22%3A%2020%7D")</f>
        <v>http://www.stromypodkontrolou.cz/map/?draw_selection_circle=1#%7B%22lat%22%3A%2049.66698323%2C%20%22lng%22%3A%2018.6819407899%2C%20%22zoom%22%3A%2020%7D</v>
      </c>
    </row>
    <row r="18" spans="1:16" ht="12.75">
      <c r="A18" s="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 t="s">
        <v>171</v>
      </c>
      <c r="N18" s="9" t="s">
        <v>172</v>
      </c>
      <c r="O18" s="31"/>
      <c r="P18" s="9"/>
    </row>
    <row r="19" spans="1:16" s="16" customFormat="1" ht="48">
      <c r="A19" s="15" t="s">
        <v>524</v>
      </c>
      <c r="B19" s="10" t="s">
        <v>19</v>
      </c>
      <c r="C19" s="10">
        <v>39</v>
      </c>
      <c r="D19" s="10"/>
      <c r="E19" s="10" t="s">
        <v>14</v>
      </c>
      <c r="F19" s="10" t="s">
        <v>180</v>
      </c>
      <c r="G19" s="10">
        <v>11</v>
      </c>
      <c r="H19" s="10"/>
      <c r="I19" s="10"/>
      <c r="J19" s="10"/>
      <c r="K19" s="10">
        <v>8</v>
      </c>
      <c r="L19" s="10">
        <v>2</v>
      </c>
      <c r="M19" s="10" t="s">
        <v>169</v>
      </c>
      <c r="N19" s="10" t="s">
        <v>170</v>
      </c>
      <c r="O19" s="31"/>
      <c r="P19" s="10" t="str">
        <f>HYPERLINK("http://www.stromypodkontrolou.cz/map/?draw_selection_circle=1#%7B%22lat%22%3A%2049.6702689999%2C%20%22lng%22%3A%2018.6624017465%2C%20%22zoom%22%3A%2020%7D")</f>
        <v>http://www.stromypodkontrolou.cz/map/?draw_selection_circle=1#%7B%22lat%22%3A%2049.6702689999%2C%20%22lng%22%3A%2018.6624017465%2C%20%22zoom%22%3A%2020%7D</v>
      </c>
    </row>
    <row r="20" spans="1:16" s="16" customFormat="1" ht="12.75">
      <c r="A20" s="2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 t="s">
        <v>171</v>
      </c>
      <c r="N20" s="10" t="s">
        <v>172</v>
      </c>
      <c r="O20" s="31"/>
      <c r="P20" s="10"/>
    </row>
    <row r="21" spans="1:16" ht="48">
      <c r="A21" s="4" t="s">
        <v>525</v>
      </c>
      <c r="B21" s="9" t="s">
        <v>19</v>
      </c>
      <c r="C21" s="9">
        <v>28</v>
      </c>
      <c r="D21" s="9"/>
      <c r="E21" s="9" t="s">
        <v>20</v>
      </c>
      <c r="F21" s="9" t="s">
        <v>195</v>
      </c>
      <c r="G21" s="9">
        <v>14</v>
      </c>
      <c r="H21" s="9"/>
      <c r="I21" s="9"/>
      <c r="J21" s="9"/>
      <c r="K21" s="9">
        <v>9</v>
      </c>
      <c r="L21" s="9">
        <v>4</v>
      </c>
      <c r="M21" s="9" t="s">
        <v>169</v>
      </c>
      <c r="N21" s="9" t="s">
        <v>170</v>
      </c>
      <c r="O21" s="31"/>
      <c r="P21" s="9" t="str">
        <f>HYPERLINK("http://www.stromypodkontrolou.cz/map/?draw_selection_circle=1#%7B%22lat%22%3A%2049.6702190275%2C%20%22lng%22%3A%2018.6623589058%2C%20%22zoom%22%3A%2020%7D")</f>
        <v>http://www.stromypodkontrolou.cz/map/?draw_selection_circle=1#%7B%22lat%22%3A%2049.6702190275%2C%20%22lng%22%3A%2018.6623589058%2C%20%22zoom%22%3A%2020%7D</v>
      </c>
    </row>
    <row r="22" spans="1:16" ht="12.75">
      <c r="A22" s="6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 t="s">
        <v>171</v>
      </c>
      <c r="N22" s="9" t="s">
        <v>172</v>
      </c>
      <c r="O22" s="31"/>
      <c r="P22" s="9"/>
    </row>
    <row r="23" spans="1:16" s="16" customFormat="1" ht="48">
      <c r="A23" s="15" t="s">
        <v>526</v>
      </c>
      <c r="B23" s="10" t="s">
        <v>19</v>
      </c>
      <c r="C23" s="10">
        <v>45</v>
      </c>
      <c r="D23" s="10"/>
      <c r="E23" s="10" t="s">
        <v>21</v>
      </c>
      <c r="F23" s="10" t="s">
        <v>197</v>
      </c>
      <c r="G23" s="10">
        <v>23</v>
      </c>
      <c r="H23" s="10"/>
      <c r="I23" s="10"/>
      <c r="J23" s="10"/>
      <c r="K23" s="10">
        <v>14</v>
      </c>
      <c r="L23" s="10">
        <v>7</v>
      </c>
      <c r="M23" s="10" t="s">
        <v>171</v>
      </c>
      <c r="N23" s="10" t="s">
        <v>172</v>
      </c>
      <c r="O23" s="31"/>
      <c r="P23" s="10" t="str">
        <f>HYPERLINK("http://www.stromypodkontrolou.cz/map/?draw_selection_circle=1#%7B%22lat%22%3A%2049.6704185525%2C%20%22lng%22%3A%2018.6622959549%2C%20%22zoom%22%3A%2020%7D")</f>
        <v>http://www.stromypodkontrolou.cz/map/?draw_selection_circle=1#%7B%22lat%22%3A%2049.6704185525%2C%20%22lng%22%3A%2018.6622959549%2C%20%22zoom%22%3A%2020%7D</v>
      </c>
    </row>
    <row r="24" spans="1:16" s="16" customFormat="1" ht="24">
      <c r="A24" s="2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 t="s">
        <v>191</v>
      </c>
      <c r="N24" s="10" t="s">
        <v>192</v>
      </c>
      <c r="O24" s="31"/>
      <c r="P24" s="10"/>
    </row>
    <row r="25" spans="1:16" ht="48">
      <c r="A25" s="19" t="s">
        <v>527</v>
      </c>
      <c r="B25" s="9" t="s">
        <v>22</v>
      </c>
      <c r="C25" s="9">
        <v>223</v>
      </c>
      <c r="D25" s="9"/>
      <c r="E25" s="9" t="s">
        <v>23</v>
      </c>
      <c r="F25" s="9" t="s">
        <v>198</v>
      </c>
      <c r="G25" s="9">
        <v>19</v>
      </c>
      <c r="H25" s="9"/>
      <c r="I25" s="9"/>
      <c r="J25" s="9"/>
      <c r="K25" s="9">
        <v>14</v>
      </c>
      <c r="L25" s="9">
        <v>4</v>
      </c>
      <c r="M25" s="9" t="s">
        <v>169</v>
      </c>
      <c r="N25" s="9" t="s">
        <v>170</v>
      </c>
      <c r="O25" s="31"/>
      <c r="P25" s="9" t="str">
        <f>HYPERLINK("http://www.stromypodkontrolou.cz/map/?draw_selection_circle=1#%7B%22lat%22%3A%2049.6686544371672%2C%20%22lng%22%3A%2018.6712619768685%2C%20%22zoom%22%3A%2020%7D")</f>
        <v>http://www.stromypodkontrolou.cz/map/?draw_selection_circle=1#%7B%22lat%22%3A%2049.6686544371672%2C%20%22lng%22%3A%2018.6712619768685%2C%20%22zoom%22%3A%2020%7D</v>
      </c>
    </row>
    <row r="26" spans="1:16" s="16" customFormat="1" ht="48">
      <c r="A26" s="18" t="s">
        <v>528</v>
      </c>
      <c r="B26" s="10" t="s">
        <v>22</v>
      </c>
      <c r="C26" s="10">
        <v>232</v>
      </c>
      <c r="D26" s="10"/>
      <c r="E26" s="10" t="s">
        <v>24</v>
      </c>
      <c r="F26" s="10" t="s">
        <v>200</v>
      </c>
      <c r="G26" s="10">
        <v>24</v>
      </c>
      <c r="H26" s="10"/>
      <c r="I26" s="10"/>
      <c r="J26" s="10"/>
      <c r="K26" s="10">
        <v>14</v>
      </c>
      <c r="L26" s="10">
        <v>4</v>
      </c>
      <c r="M26" s="10" t="s">
        <v>169</v>
      </c>
      <c r="N26" s="10" t="s">
        <v>170</v>
      </c>
      <c r="O26" s="31"/>
      <c r="P26" s="10" t="str">
        <f>HYPERLINK("http://www.stromypodkontrolou.cz/map/?draw_selection_circle=1#%7B%22lat%22%3A%2049.6687421022689%2C%20%22lng%22%3A%2018.6710152136472%2C%20%22zoom%22%3A%2020%7D")</f>
        <v>http://www.stromypodkontrolou.cz/map/?draw_selection_circle=1#%7B%22lat%22%3A%2049.6687421022689%2C%20%22lng%22%3A%2018.6710152136472%2C%20%22zoom%22%3A%2020%7D</v>
      </c>
    </row>
    <row r="27" spans="1:16" ht="48">
      <c r="A27" s="19" t="s">
        <v>529</v>
      </c>
      <c r="B27" s="9" t="s">
        <v>22</v>
      </c>
      <c r="C27" s="9">
        <v>227</v>
      </c>
      <c r="D27" s="9"/>
      <c r="E27" s="9" t="s">
        <v>24</v>
      </c>
      <c r="F27" s="9" t="s">
        <v>200</v>
      </c>
      <c r="G27" s="9">
        <v>24</v>
      </c>
      <c r="H27" s="9"/>
      <c r="I27" s="9"/>
      <c r="J27" s="9"/>
      <c r="K27" s="9">
        <v>8</v>
      </c>
      <c r="L27" s="9">
        <v>5</v>
      </c>
      <c r="M27" s="9" t="s">
        <v>169</v>
      </c>
      <c r="N27" s="9" t="s">
        <v>170</v>
      </c>
      <c r="O27" s="31"/>
      <c r="P27" s="9" t="str">
        <f>HYPERLINK("http://www.stromypodkontrolou.cz/map/?draw_selection_circle=1#%7B%22lat%22%3A%2049.6687151951793%2C%20%22lng%22%3A%2018.6711278664243%2C%20%22zoom%22%3A%2020%7D")</f>
        <v>http://www.stromypodkontrolou.cz/map/?draw_selection_circle=1#%7B%22lat%22%3A%2049.6687151951793%2C%20%22lng%22%3A%2018.6711278664243%2C%20%22zoom%22%3A%2020%7D</v>
      </c>
    </row>
    <row r="28" spans="1:16" s="16" customFormat="1" ht="48">
      <c r="A28" s="15" t="s">
        <v>530</v>
      </c>
      <c r="B28" s="10" t="s">
        <v>25</v>
      </c>
      <c r="C28" s="10">
        <v>120</v>
      </c>
      <c r="D28" s="10"/>
      <c r="E28" s="10" t="s">
        <v>21</v>
      </c>
      <c r="F28" s="10" t="s">
        <v>197</v>
      </c>
      <c r="G28" s="10">
        <v>41</v>
      </c>
      <c r="H28" s="10"/>
      <c r="I28" s="10"/>
      <c r="J28" s="10"/>
      <c r="K28" s="10">
        <v>22</v>
      </c>
      <c r="L28" s="10">
        <v>7</v>
      </c>
      <c r="M28" s="10" t="s">
        <v>191</v>
      </c>
      <c r="N28" s="10" t="s">
        <v>192</v>
      </c>
      <c r="O28" s="31"/>
      <c r="P28" s="10" t="str">
        <f>HYPERLINK("http://www.stromypodkontrolou.cz/map/?draw_selection_circle=1#%7B%22lat%22%3A%2049.6648570165991%2C%20%22lng%22%3A%2018.6730583232652%2C%20%22zoom%22%3A%2020%7D")</f>
        <v>http://www.stromypodkontrolou.cz/map/?draw_selection_circle=1#%7B%22lat%22%3A%2049.6648570165991%2C%20%22lng%22%3A%2018.6730583232652%2C%20%22zoom%22%3A%2020%7D</v>
      </c>
    </row>
    <row r="29" spans="1:16" s="16" customFormat="1" ht="12.75">
      <c r="A29" s="2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 t="s">
        <v>171</v>
      </c>
      <c r="N29" s="10" t="s">
        <v>172</v>
      </c>
      <c r="O29" s="31"/>
      <c r="P29" s="10"/>
    </row>
    <row r="30" spans="1:16" ht="48">
      <c r="A30" s="4" t="s">
        <v>531</v>
      </c>
      <c r="B30" s="9" t="s">
        <v>26</v>
      </c>
      <c r="C30" s="9">
        <v>207</v>
      </c>
      <c r="D30" s="9"/>
      <c r="E30" s="9" t="s">
        <v>27</v>
      </c>
      <c r="F30" s="9" t="s">
        <v>204</v>
      </c>
      <c r="G30" s="9">
        <v>23</v>
      </c>
      <c r="H30" s="9"/>
      <c r="I30" s="9"/>
      <c r="J30" s="9"/>
      <c r="K30" s="9">
        <v>11</v>
      </c>
      <c r="L30" s="9">
        <v>5</v>
      </c>
      <c r="M30" s="9" t="s">
        <v>169</v>
      </c>
      <c r="N30" s="9" t="s">
        <v>170</v>
      </c>
      <c r="O30" s="31"/>
      <c r="P30" s="9" t="str">
        <f>HYPERLINK("http://www.stromypodkontrolou.cz/map/?draw_selection_circle=1#%7B%22lat%22%3A%2049.664720595%2C%20%22lng%22%3A%2018.6738498872%2C%20%22zoom%22%3A%2020%7D")</f>
        <v>http://www.stromypodkontrolou.cz/map/?draw_selection_circle=1#%7B%22lat%22%3A%2049.664720595%2C%20%22lng%22%3A%2018.6738498872%2C%20%22zoom%22%3A%2020%7D</v>
      </c>
    </row>
    <row r="31" spans="1:16" ht="12.75">
      <c r="A31" s="5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 t="s">
        <v>171</v>
      </c>
      <c r="N31" s="9" t="s">
        <v>172</v>
      </c>
      <c r="O31" s="31"/>
      <c r="P31" s="9"/>
    </row>
    <row r="32" spans="1:16" s="16" customFormat="1" ht="48">
      <c r="A32" s="18" t="s">
        <v>532</v>
      </c>
      <c r="B32" s="10" t="s">
        <v>22</v>
      </c>
      <c r="C32" s="10">
        <v>80</v>
      </c>
      <c r="D32" s="10"/>
      <c r="E32" s="10" t="s">
        <v>28</v>
      </c>
      <c r="F32" s="10" t="s">
        <v>207</v>
      </c>
      <c r="G32" s="10">
        <v>9</v>
      </c>
      <c r="H32" s="10">
        <v>8</v>
      </c>
      <c r="I32" s="10">
        <v>6</v>
      </c>
      <c r="J32" s="10"/>
      <c r="K32" s="10">
        <v>4</v>
      </c>
      <c r="L32" s="10">
        <v>4</v>
      </c>
      <c r="M32" s="10" t="s">
        <v>169</v>
      </c>
      <c r="N32" s="10" t="s">
        <v>170</v>
      </c>
      <c r="O32" s="31"/>
      <c r="P32" s="10" t="str">
        <f>HYPERLINK("http://www.stromypodkontrolou.cz/map/?draw_selection_circle=1#%7B%22lat%22%3A%2049.670357981%2C%20%22lng%22%3A%2018.6721894666%2C%20%22zoom%22%3A%2020%7D")</f>
        <v>http://www.stromypodkontrolou.cz/map/?draw_selection_circle=1#%7B%22lat%22%3A%2049.670357981%2C%20%22lng%22%3A%2018.6721894666%2C%20%22zoom%22%3A%2020%7D</v>
      </c>
    </row>
    <row r="33" spans="1:16" ht="48">
      <c r="A33" s="4" t="s">
        <v>533</v>
      </c>
      <c r="B33" s="9" t="s">
        <v>29</v>
      </c>
      <c r="C33" s="9">
        <v>11</v>
      </c>
      <c r="D33" s="9"/>
      <c r="E33" s="9" t="s">
        <v>21</v>
      </c>
      <c r="F33" s="9" t="s">
        <v>197</v>
      </c>
      <c r="G33" s="9">
        <v>21</v>
      </c>
      <c r="H33" s="9"/>
      <c r="I33" s="9"/>
      <c r="J33" s="9"/>
      <c r="K33" s="9">
        <v>14</v>
      </c>
      <c r="L33" s="9">
        <v>4</v>
      </c>
      <c r="M33" s="9" t="s">
        <v>191</v>
      </c>
      <c r="N33" s="9" t="s">
        <v>192</v>
      </c>
      <c r="O33" s="31"/>
      <c r="P33" s="9" t="str">
        <f>HYPERLINK("http://www.stromypodkontrolou.cz/map/?draw_selection_circle=1#%7B%22lat%22%3A%2049.6750281798%2C%20%22lng%22%3A%2018.6679566133%2C%20%22zoom%22%3A%2020%7D")</f>
        <v>http://www.stromypodkontrolou.cz/map/?draw_selection_circle=1#%7B%22lat%22%3A%2049.6750281798%2C%20%22lng%22%3A%2018.6679566133%2C%20%22zoom%22%3A%2020%7D</v>
      </c>
    </row>
    <row r="34" spans="1:16" ht="12.75">
      <c r="A34" s="5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 t="s">
        <v>171</v>
      </c>
      <c r="N34" s="9" t="s">
        <v>172</v>
      </c>
      <c r="O34" s="31"/>
      <c r="P34" s="9"/>
    </row>
    <row r="35" spans="1:16" s="16" customFormat="1" ht="48">
      <c r="A35" s="15" t="s">
        <v>534</v>
      </c>
      <c r="B35" s="10" t="s">
        <v>12</v>
      </c>
      <c r="C35" s="10">
        <v>402</v>
      </c>
      <c r="D35" s="10"/>
      <c r="E35" s="10" t="s">
        <v>30</v>
      </c>
      <c r="F35" s="10" t="s">
        <v>211</v>
      </c>
      <c r="G35" s="10">
        <v>22</v>
      </c>
      <c r="H35" s="10"/>
      <c r="I35" s="10"/>
      <c r="J35" s="10"/>
      <c r="K35" s="10">
        <v>13</v>
      </c>
      <c r="L35" s="10">
        <v>5</v>
      </c>
      <c r="M35" s="10" t="s">
        <v>169</v>
      </c>
      <c r="N35" s="10" t="s">
        <v>170</v>
      </c>
      <c r="O35" s="31"/>
      <c r="P35" s="10" t="str">
        <f>HYPERLINK("http://www.stromypodkontrolou.cz/map/?draw_selection_circle=1#%7B%22lat%22%3A%2049.6790117605%2C%20%22lng%22%3A%2018.6845602376%2C%20%22zoom%22%3A%2020%7D")</f>
        <v>http://www.stromypodkontrolou.cz/map/?draw_selection_circle=1#%7B%22lat%22%3A%2049.6790117605%2C%20%22lng%22%3A%2018.6845602376%2C%20%22zoom%22%3A%2020%7D</v>
      </c>
    </row>
    <row r="36" spans="1:16" s="16" customFormat="1" ht="12.75">
      <c r="A36" s="2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 t="s">
        <v>171</v>
      </c>
      <c r="N36" s="10" t="s">
        <v>172</v>
      </c>
      <c r="O36" s="31"/>
      <c r="P36" s="10"/>
    </row>
    <row r="37" spans="1:16" ht="48">
      <c r="A37" s="21" t="s">
        <v>535</v>
      </c>
      <c r="B37" s="9" t="s">
        <v>12</v>
      </c>
      <c r="C37" s="9">
        <v>343</v>
      </c>
      <c r="D37" s="9"/>
      <c r="E37" s="9" t="s">
        <v>31</v>
      </c>
      <c r="F37" s="9" t="s">
        <v>213</v>
      </c>
      <c r="G37" s="9">
        <v>21</v>
      </c>
      <c r="H37" s="9">
        <v>20</v>
      </c>
      <c r="I37" s="9"/>
      <c r="J37" s="9"/>
      <c r="K37" s="9">
        <v>11</v>
      </c>
      <c r="L37" s="9">
        <v>4</v>
      </c>
      <c r="M37" s="9" t="s">
        <v>169</v>
      </c>
      <c r="N37" s="9" t="s">
        <v>170</v>
      </c>
      <c r="O37" s="31"/>
      <c r="P37" s="9" t="str">
        <f>HYPERLINK("http://www.stromypodkontrolou.cz/map/?draw_selection_circle=1#%7B%22lat%22%3A%2049.6788353689%2C%20%22lng%22%3A%2018.6844871732%2C%20%22zoom%22%3A%2020%7D")</f>
        <v>http://www.stromypodkontrolou.cz/map/?draw_selection_circle=1#%7B%22lat%22%3A%2049.6788353689%2C%20%22lng%22%3A%2018.6844871732%2C%20%22zoom%22%3A%2020%7D</v>
      </c>
    </row>
    <row r="38" spans="1:16" ht="12.75">
      <c r="A38" s="2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 t="s">
        <v>171</v>
      </c>
      <c r="N38" s="9" t="s">
        <v>172</v>
      </c>
      <c r="O38" s="31"/>
      <c r="P38" s="9"/>
    </row>
    <row r="39" spans="1:16" s="16" customFormat="1" ht="48">
      <c r="A39" s="15" t="s">
        <v>536</v>
      </c>
      <c r="B39" s="10" t="s">
        <v>32</v>
      </c>
      <c r="C39" s="10">
        <v>6</v>
      </c>
      <c r="D39" s="10"/>
      <c r="E39" s="10" t="s">
        <v>15</v>
      </c>
      <c r="F39" s="10" t="s">
        <v>183</v>
      </c>
      <c r="G39" s="10">
        <v>4</v>
      </c>
      <c r="H39" s="10"/>
      <c r="I39" s="10"/>
      <c r="J39" s="10"/>
      <c r="K39" s="10">
        <v>4</v>
      </c>
      <c r="L39" s="10">
        <v>3</v>
      </c>
      <c r="M39" s="10" t="s">
        <v>171</v>
      </c>
      <c r="N39" s="10" t="s">
        <v>172</v>
      </c>
      <c r="O39" s="31"/>
      <c r="P39" s="10" t="str">
        <f>HYPERLINK("http://www.stromypodkontrolou.cz/map/?draw_selection_circle=1#%7B%22lat%22%3A%2049.6679313433552%2C%20%22lng%22%3A%2018.6625795093028%2C%20%22zoom%22%3A%2020%7D")</f>
        <v>http://www.stromypodkontrolou.cz/map/?draw_selection_circle=1#%7B%22lat%22%3A%2049.6679313433552%2C%20%22lng%22%3A%2018.6625795093028%2C%20%22zoom%22%3A%2020%7D</v>
      </c>
    </row>
    <row r="40" spans="1:16" s="16" customFormat="1" ht="12.75">
      <c r="A40" s="2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 t="s">
        <v>169</v>
      </c>
      <c r="N40" s="10" t="s">
        <v>170</v>
      </c>
      <c r="O40" s="31"/>
      <c r="P40" s="10"/>
    </row>
    <row r="41" spans="1:16" ht="48">
      <c r="A41" s="4" t="s">
        <v>537</v>
      </c>
      <c r="B41" s="9" t="s">
        <v>33</v>
      </c>
      <c r="C41" s="9">
        <v>31</v>
      </c>
      <c r="D41" s="9"/>
      <c r="E41" s="9" t="s">
        <v>21</v>
      </c>
      <c r="F41" s="9" t="s">
        <v>197</v>
      </c>
      <c r="G41" s="9">
        <v>25</v>
      </c>
      <c r="H41" s="9">
        <v>24</v>
      </c>
      <c r="I41" s="9"/>
      <c r="J41" s="9"/>
      <c r="K41" s="9">
        <v>16</v>
      </c>
      <c r="L41" s="9">
        <v>6</v>
      </c>
      <c r="M41" s="9" t="s">
        <v>171</v>
      </c>
      <c r="N41" s="9" t="s">
        <v>172</v>
      </c>
      <c r="O41" s="31"/>
      <c r="P41" s="9" t="str">
        <f>HYPERLINK("http://www.stromypodkontrolou.cz/map/?draw_selection_circle=1#%7B%22lat%22%3A%2049.6621066799827%2C%20%22lng%22%3A%2018.6792307913795%2C%20%22zoom%22%3A%2020%7D")</f>
        <v>http://www.stromypodkontrolou.cz/map/?draw_selection_circle=1#%7B%22lat%22%3A%2049.6621066799827%2C%20%22lng%22%3A%2018.6792307913795%2C%20%22zoom%22%3A%2020%7D</v>
      </c>
    </row>
    <row r="42" spans="1:16" ht="12.75">
      <c r="A42" s="5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 t="s">
        <v>218</v>
      </c>
      <c r="N42" s="9" t="s">
        <v>219</v>
      </c>
      <c r="O42" s="31"/>
      <c r="P42" s="9"/>
    </row>
    <row r="43" spans="1:16" s="16" customFormat="1" ht="48">
      <c r="A43" s="15" t="s">
        <v>538</v>
      </c>
      <c r="B43" s="10" t="s">
        <v>12</v>
      </c>
      <c r="C43" s="10">
        <v>549</v>
      </c>
      <c r="D43" s="10"/>
      <c r="E43" s="10" t="s">
        <v>34</v>
      </c>
      <c r="F43" s="10" t="s">
        <v>220</v>
      </c>
      <c r="G43" s="10">
        <v>5</v>
      </c>
      <c r="H43" s="10"/>
      <c r="I43" s="10"/>
      <c r="J43" s="10"/>
      <c r="K43" s="10">
        <v>4</v>
      </c>
      <c r="L43" s="10">
        <v>2</v>
      </c>
      <c r="M43" s="10" t="s">
        <v>171</v>
      </c>
      <c r="N43" s="10" t="s">
        <v>172</v>
      </c>
      <c r="O43" s="31"/>
      <c r="P43" s="10" t="str">
        <f>HYPERLINK("http://www.stromypodkontrolou.cz/map/?draw_selection_circle=1#%7B%22lat%22%3A%2049.6766354344309%2C%20%22lng%22%3A%2018.686548259834%2C%20%22zoom%22%3A%2020%7D")</f>
        <v>http://www.stromypodkontrolou.cz/map/?draw_selection_circle=1#%7B%22lat%22%3A%2049.6766354344309%2C%20%22lng%22%3A%2018.686548259834%2C%20%22zoom%22%3A%2020%7D</v>
      </c>
    </row>
    <row r="44" spans="1:16" s="16" customFormat="1" ht="12.75">
      <c r="A44" s="2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 t="s">
        <v>169</v>
      </c>
      <c r="N44" s="10" t="s">
        <v>170</v>
      </c>
      <c r="O44" s="31"/>
      <c r="P44" s="10"/>
    </row>
    <row r="45" spans="1:16" ht="48">
      <c r="A45" s="19" t="s">
        <v>539</v>
      </c>
      <c r="B45" s="9" t="s">
        <v>35</v>
      </c>
      <c r="C45" s="9">
        <v>47</v>
      </c>
      <c r="D45" s="9"/>
      <c r="E45" s="9" t="s">
        <v>11</v>
      </c>
      <c r="F45" s="9" t="s">
        <v>173</v>
      </c>
      <c r="G45" s="9">
        <v>24</v>
      </c>
      <c r="H45" s="9"/>
      <c r="I45" s="9"/>
      <c r="J45" s="9"/>
      <c r="K45" s="9">
        <v>14</v>
      </c>
      <c r="L45" s="9">
        <v>4</v>
      </c>
      <c r="M45" s="9" t="s">
        <v>224</v>
      </c>
      <c r="N45" s="9" t="s">
        <v>225</v>
      </c>
      <c r="O45" s="31"/>
      <c r="P45" s="9" t="str">
        <f>HYPERLINK("http://www.stromypodkontrolou.cz/map/?draw_selection_circle=1#%7B%22lat%22%3A%2049.6681747634%2C%20%22lng%22%3A%2018.6787413075%2C%20%22zoom%22%3A%2020%7D")</f>
        <v>http://www.stromypodkontrolou.cz/map/?draw_selection_circle=1#%7B%22lat%22%3A%2049.6681747634%2C%20%22lng%22%3A%2018.6787413075%2C%20%22zoom%22%3A%2020%7D</v>
      </c>
    </row>
    <row r="46" spans="1:16" s="16" customFormat="1" ht="48">
      <c r="A46" s="15" t="s">
        <v>540</v>
      </c>
      <c r="B46" s="10" t="s">
        <v>35</v>
      </c>
      <c r="C46" s="10">
        <v>38</v>
      </c>
      <c r="D46" s="10"/>
      <c r="E46" s="10" t="s">
        <v>13</v>
      </c>
      <c r="F46" s="10" t="s">
        <v>175</v>
      </c>
      <c r="G46" s="10">
        <v>11</v>
      </c>
      <c r="H46" s="10">
        <v>7</v>
      </c>
      <c r="I46" s="10"/>
      <c r="J46" s="10"/>
      <c r="K46" s="10">
        <v>5</v>
      </c>
      <c r="L46" s="10">
        <v>5</v>
      </c>
      <c r="M46" s="10" t="s">
        <v>171</v>
      </c>
      <c r="N46" s="10" t="s">
        <v>172</v>
      </c>
      <c r="O46" s="31"/>
      <c r="P46" s="10" t="str">
        <f>HYPERLINK("http://www.stromypodkontrolou.cz/map/?draw_selection_circle=1#%7B%22lat%22%3A%2049.6679919408975%2C%20%22lng%22%3A%2018.6790539436471%2C%20%22zoom%22%3A%2020%7D")</f>
        <v>http://www.stromypodkontrolou.cz/map/?draw_selection_circle=1#%7B%22lat%22%3A%2049.6679919408975%2C%20%22lng%22%3A%2018.6790539436471%2C%20%22zoom%22%3A%2020%7D</v>
      </c>
    </row>
    <row r="47" spans="1:16" s="16" customFormat="1" ht="12.75">
      <c r="A47" s="1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 t="s">
        <v>169</v>
      </c>
      <c r="N47" s="10" t="s">
        <v>170</v>
      </c>
      <c r="O47" s="31"/>
      <c r="P47" s="10"/>
    </row>
    <row r="48" spans="1:16" ht="48">
      <c r="A48" s="4" t="s">
        <v>541</v>
      </c>
      <c r="B48" s="9" t="s">
        <v>35</v>
      </c>
      <c r="C48" s="9">
        <v>40</v>
      </c>
      <c r="D48" s="9"/>
      <c r="E48" s="9" t="s">
        <v>27</v>
      </c>
      <c r="F48" s="9" t="s">
        <v>204</v>
      </c>
      <c r="G48" s="9">
        <v>13</v>
      </c>
      <c r="H48" s="9"/>
      <c r="I48" s="9"/>
      <c r="J48" s="9"/>
      <c r="K48" s="9">
        <v>6</v>
      </c>
      <c r="L48" s="9">
        <v>3</v>
      </c>
      <c r="M48" s="9" t="s">
        <v>171</v>
      </c>
      <c r="N48" s="9" t="s">
        <v>172</v>
      </c>
      <c r="O48" s="31"/>
      <c r="P48" s="9" t="str">
        <f>HYPERLINK("http://www.stromypodkontrolou.cz/map/?draw_selection_circle=1#%7B%22lat%22%3A%2049.6680658686707%2C%20%22lng%22%3A%2018.6789601145313%2C%20%22zoom%22%3A%2020%7D")</f>
        <v>http://www.stromypodkontrolou.cz/map/?draw_selection_circle=1#%7B%22lat%22%3A%2049.6680658686707%2C%20%22lng%22%3A%2018.6789601145313%2C%20%22zoom%22%3A%2020%7D</v>
      </c>
    </row>
    <row r="49" spans="1:16" ht="12.75">
      <c r="A49" s="5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 t="s">
        <v>169</v>
      </c>
      <c r="N49" s="9" t="s">
        <v>170</v>
      </c>
      <c r="O49" s="31"/>
      <c r="P49" s="9"/>
    </row>
    <row r="50" spans="1:16" s="16" customFormat="1" ht="48">
      <c r="A50" s="15" t="s">
        <v>542</v>
      </c>
      <c r="B50" s="10" t="s">
        <v>35</v>
      </c>
      <c r="C50" s="23">
        <v>48</v>
      </c>
      <c r="D50" s="10"/>
      <c r="E50" s="10" t="s">
        <v>11</v>
      </c>
      <c r="F50" s="10" t="s">
        <v>173</v>
      </c>
      <c r="G50" s="10">
        <v>22</v>
      </c>
      <c r="H50" s="10"/>
      <c r="I50" s="10"/>
      <c r="J50" s="10"/>
      <c r="K50" s="10">
        <v>14</v>
      </c>
      <c r="L50" s="10">
        <v>4</v>
      </c>
      <c r="M50" s="10" t="s">
        <v>169</v>
      </c>
      <c r="N50" s="10" t="s">
        <v>170</v>
      </c>
      <c r="O50" s="31"/>
      <c r="P50" s="10" t="str">
        <f>HYPERLINK("http://www.stromypodkontrolou.cz/map/?draw_selection_circle=1#%7B%22lat%22%3A%2049.6681822661806%2C%20%22lng%22%3A%2018.6787477376476%2C%20%22zoom%22%3A%2020%7D")</f>
        <v>http://www.stromypodkontrolou.cz/map/?draw_selection_circle=1#%7B%22lat%22%3A%2049.6681822661806%2C%20%22lng%22%3A%2018.6787477376476%2C%20%22zoom%22%3A%2020%7D</v>
      </c>
    </row>
    <row r="51" spans="1:16" s="16" customFormat="1" ht="12.75">
      <c r="A51" s="20"/>
      <c r="B51" s="10"/>
      <c r="C51" s="24"/>
      <c r="D51" s="10"/>
      <c r="E51" s="10"/>
      <c r="F51" s="10"/>
      <c r="G51" s="10"/>
      <c r="H51" s="10"/>
      <c r="I51" s="10"/>
      <c r="J51" s="10"/>
      <c r="K51" s="10"/>
      <c r="L51" s="10"/>
      <c r="M51" s="10" t="s">
        <v>171</v>
      </c>
      <c r="N51" s="10" t="s">
        <v>172</v>
      </c>
      <c r="O51" s="31"/>
      <c r="P51" s="10"/>
    </row>
    <row r="52" spans="1:16" ht="48">
      <c r="A52" s="4" t="s">
        <v>543</v>
      </c>
      <c r="B52" s="9" t="s">
        <v>36</v>
      </c>
      <c r="C52" s="9">
        <v>10</v>
      </c>
      <c r="D52" s="9"/>
      <c r="E52" s="9" t="s">
        <v>21</v>
      </c>
      <c r="F52" s="9" t="s">
        <v>197</v>
      </c>
      <c r="G52" s="9">
        <v>24</v>
      </c>
      <c r="H52" s="9"/>
      <c r="I52" s="9"/>
      <c r="J52" s="9"/>
      <c r="K52" s="9">
        <v>12</v>
      </c>
      <c r="L52" s="9">
        <v>7</v>
      </c>
      <c r="M52" s="9" t="s">
        <v>171</v>
      </c>
      <c r="N52" s="9" t="s">
        <v>172</v>
      </c>
      <c r="O52" s="31"/>
      <c r="P52" s="9" t="str">
        <f>HYPERLINK("http://www.stromypodkontrolou.cz/map/?draw_selection_circle=1#%7B%22lat%22%3A%2049.6675526649411%2C%20%22lng%22%3A%2018.6784494554711%2C%20%22zoom%22%3A%2020%7D")</f>
        <v>http://www.stromypodkontrolou.cz/map/?draw_selection_circle=1#%7B%22lat%22%3A%2049.6675526649411%2C%20%22lng%22%3A%2018.6784494554711%2C%20%22zoom%22%3A%2020%7D</v>
      </c>
    </row>
    <row r="53" spans="1:16" ht="12.75">
      <c r="A53" s="6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 t="s">
        <v>169</v>
      </c>
      <c r="N53" s="9" t="s">
        <v>170</v>
      </c>
      <c r="O53" s="31"/>
      <c r="P53" s="9"/>
    </row>
    <row r="54" spans="1:16" s="16" customFormat="1" ht="48">
      <c r="A54" s="15" t="s">
        <v>544</v>
      </c>
      <c r="B54" s="10" t="s">
        <v>16</v>
      </c>
      <c r="C54" s="10">
        <v>46</v>
      </c>
      <c r="D54" s="10"/>
      <c r="E54" s="10" t="s">
        <v>21</v>
      </c>
      <c r="F54" s="10" t="s">
        <v>197</v>
      </c>
      <c r="G54" s="10">
        <v>21</v>
      </c>
      <c r="H54" s="10">
        <v>11</v>
      </c>
      <c r="I54" s="10">
        <v>9</v>
      </c>
      <c r="J54" s="10"/>
      <c r="K54" s="10">
        <v>16</v>
      </c>
      <c r="L54" s="10">
        <v>6</v>
      </c>
      <c r="M54" s="10" t="s">
        <v>191</v>
      </c>
      <c r="N54" s="10" t="s">
        <v>192</v>
      </c>
      <c r="O54" s="31"/>
      <c r="P54" s="10" t="str">
        <f>HYPERLINK("http://www.stromypodkontrolou.cz/map/?draw_selection_circle=1#%7B%22lat%22%3A%2049.6716393293794%2C%20%22lng%22%3A%2018.6703910552439%2C%20%22zoom%22%3A%2020%7D")</f>
        <v>http://www.stromypodkontrolou.cz/map/?draw_selection_circle=1#%7B%22lat%22%3A%2049.6716393293794%2C%20%22lng%22%3A%2018.6703910552439%2C%20%22zoom%22%3A%2020%7D</v>
      </c>
    </row>
    <row r="55" spans="1:16" s="16" customFormat="1" ht="12.75">
      <c r="A55" s="2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 t="s">
        <v>171</v>
      </c>
      <c r="N55" s="10" t="s">
        <v>172</v>
      </c>
      <c r="O55" s="31"/>
      <c r="P55" s="10"/>
    </row>
    <row r="56" spans="1:16" ht="48">
      <c r="A56" s="4" t="s">
        <v>545</v>
      </c>
      <c r="B56" s="9" t="s">
        <v>16</v>
      </c>
      <c r="C56" s="9">
        <v>44</v>
      </c>
      <c r="D56" s="9"/>
      <c r="E56" s="9" t="s">
        <v>21</v>
      </c>
      <c r="F56" s="9" t="s">
        <v>197</v>
      </c>
      <c r="G56" s="9">
        <v>14</v>
      </c>
      <c r="H56" s="9">
        <v>8</v>
      </c>
      <c r="I56" s="9"/>
      <c r="J56" s="9"/>
      <c r="K56" s="9">
        <v>15</v>
      </c>
      <c r="L56" s="9">
        <v>6</v>
      </c>
      <c r="M56" s="9" t="s">
        <v>169</v>
      </c>
      <c r="N56" s="9" t="s">
        <v>170</v>
      </c>
      <c r="O56" s="31"/>
      <c r="P56" s="9" t="str">
        <f>HYPERLINK("http://www.stromypodkontrolou.cz/map/?draw_selection_circle=1#%7B%22lat%22%3A%2049.6716255766515%2C%20%22lng%22%3A%2018.6703600564121%2C%20%22zoom%22%3A%2020%7D")</f>
        <v>http://www.stromypodkontrolou.cz/map/?draw_selection_circle=1#%7B%22lat%22%3A%2049.6716255766515%2C%20%22lng%22%3A%2018.6703600564121%2C%20%22zoom%22%3A%2020%7D</v>
      </c>
    </row>
    <row r="57" spans="1:16" ht="12.75">
      <c r="A57" s="5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 t="s">
        <v>171</v>
      </c>
      <c r="N57" s="9" t="s">
        <v>172</v>
      </c>
      <c r="O57" s="31"/>
      <c r="P57" s="9"/>
    </row>
    <row r="58" spans="1:16" s="16" customFormat="1" ht="48">
      <c r="A58" s="15" t="s">
        <v>546</v>
      </c>
      <c r="B58" s="10" t="s">
        <v>16</v>
      </c>
      <c r="C58" s="10">
        <v>42</v>
      </c>
      <c r="D58" s="10"/>
      <c r="E58" s="10" t="s">
        <v>21</v>
      </c>
      <c r="F58" s="10" t="s">
        <v>197</v>
      </c>
      <c r="G58" s="10">
        <v>17</v>
      </c>
      <c r="H58" s="10">
        <v>16</v>
      </c>
      <c r="I58" s="10"/>
      <c r="J58" s="10"/>
      <c r="K58" s="10">
        <v>17</v>
      </c>
      <c r="L58" s="10">
        <v>6</v>
      </c>
      <c r="M58" s="10" t="s">
        <v>218</v>
      </c>
      <c r="N58" s="10" t="s">
        <v>219</v>
      </c>
      <c r="O58" s="31"/>
      <c r="P58" s="10" t="str">
        <f>HYPERLINK("http://www.stromypodkontrolou.cz/map/?draw_selection_circle=1#%7B%22lat%22%3A%2049.6716134518797%2C%20%22lng%22%3A%2018.6703311915544%2C%20%22zoom%22%3A%2020%7D")</f>
        <v>http://www.stromypodkontrolou.cz/map/?draw_selection_circle=1#%7B%22lat%22%3A%2049.6716134518797%2C%20%22lng%22%3A%2018.6703311915544%2C%20%22zoom%22%3A%2020%7D</v>
      </c>
    </row>
    <row r="59" spans="1:16" s="16" customFormat="1" ht="12.75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 t="s">
        <v>171</v>
      </c>
      <c r="N59" s="10" t="s">
        <v>172</v>
      </c>
      <c r="O59" s="31"/>
      <c r="P59" s="10"/>
    </row>
    <row r="60" spans="1:16" ht="48">
      <c r="A60" s="4" t="s">
        <v>547</v>
      </c>
      <c r="B60" s="9" t="s">
        <v>16</v>
      </c>
      <c r="C60" s="9">
        <v>40</v>
      </c>
      <c r="D60" s="9"/>
      <c r="E60" s="9" t="s">
        <v>21</v>
      </c>
      <c r="F60" s="9" t="s">
        <v>197</v>
      </c>
      <c r="G60" s="9">
        <v>25</v>
      </c>
      <c r="H60" s="9"/>
      <c r="I60" s="9"/>
      <c r="J60" s="9"/>
      <c r="K60" s="9">
        <v>15</v>
      </c>
      <c r="L60" s="9">
        <v>5</v>
      </c>
      <c r="M60" s="9" t="s">
        <v>218</v>
      </c>
      <c r="N60" s="9" t="s">
        <v>219</v>
      </c>
      <c r="O60" s="31"/>
      <c r="P60" s="9" t="str">
        <f>HYPERLINK("http://www.stromypodkontrolou.cz/map/?draw_selection_circle=1#%7B%22lat%22%3A%2049.6715979496823%2C%20%22lng%22%3A%2018.6702957376046%2C%20%22zoom%22%3A%2020%7D")</f>
        <v>http://www.stromypodkontrolou.cz/map/?draw_selection_circle=1#%7B%22lat%22%3A%2049.6715979496823%2C%20%22lng%22%3A%2018.6702957376046%2C%20%22zoom%22%3A%2020%7D</v>
      </c>
    </row>
    <row r="61" spans="1:16" ht="12.75">
      <c r="A61" s="5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 t="s">
        <v>171</v>
      </c>
      <c r="N61" s="9" t="s">
        <v>172</v>
      </c>
      <c r="O61" s="31"/>
      <c r="P61" s="9"/>
    </row>
    <row r="62" spans="1:16" s="16" customFormat="1" ht="48">
      <c r="A62" s="15" t="s">
        <v>548</v>
      </c>
      <c r="B62" s="10" t="s">
        <v>16</v>
      </c>
      <c r="C62" s="10">
        <v>39</v>
      </c>
      <c r="D62" s="10"/>
      <c r="E62" s="10" t="s">
        <v>21</v>
      </c>
      <c r="F62" s="10" t="s">
        <v>197</v>
      </c>
      <c r="G62" s="10">
        <v>20</v>
      </c>
      <c r="H62" s="10">
        <v>21</v>
      </c>
      <c r="I62" s="10"/>
      <c r="J62" s="10"/>
      <c r="K62" s="10">
        <v>18</v>
      </c>
      <c r="L62" s="10">
        <v>7</v>
      </c>
      <c r="M62" s="10" t="s">
        <v>218</v>
      </c>
      <c r="N62" s="10" t="s">
        <v>219</v>
      </c>
      <c r="O62" s="31"/>
      <c r="P62" s="10" t="str">
        <f>HYPERLINK("http://www.stromypodkontrolou.cz/map/?draw_selection_circle=1#%7B%22lat%22%3A%2049.6715910733107%2C%20%22lng%22%3A%2018.6702802382053%2C%20%22zoom%22%3A%2020%7D")</f>
        <v>http://www.stromypodkontrolou.cz/map/?draw_selection_circle=1#%7B%22lat%22%3A%2049.6715910733107%2C%20%22lng%22%3A%2018.6702802382053%2C%20%22zoom%22%3A%2020%7D</v>
      </c>
    </row>
    <row r="63" spans="1:16" s="16" customFormat="1" ht="12.75">
      <c r="A63" s="2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171</v>
      </c>
      <c r="N63" s="10" t="s">
        <v>172</v>
      </c>
      <c r="O63" s="31"/>
      <c r="P63" s="10"/>
    </row>
    <row r="64" spans="1:16" ht="48">
      <c r="A64" s="4" t="s">
        <v>549</v>
      </c>
      <c r="B64" s="9" t="s">
        <v>37</v>
      </c>
      <c r="C64" s="9">
        <v>28</v>
      </c>
      <c r="D64" s="9"/>
      <c r="E64" s="9" t="s">
        <v>27</v>
      </c>
      <c r="F64" s="9" t="s">
        <v>204</v>
      </c>
      <c r="G64" s="9">
        <v>21</v>
      </c>
      <c r="H64" s="9">
        <v>20</v>
      </c>
      <c r="I64" s="9"/>
      <c r="J64" s="9"/>
      <c r="K64" s="9">
        <v>12</v>
      </c>
      <c r="L64" s="9">
        <v>6</v>
      </c>
      <c r="M64" s="9" t="s">
        <v>169</v>
      </c>
      <c r="N64" s="9" t="s">
        <v>170</v>
      </c>
      <c r="O64" s="31"/>
      <c r="P64" s="9" t="str">
        <f>HYPERLINK("http://www.stromypodkontrolou.cz/map/?draw_selection_circle=1#%7B%22lat%22%3A%2049.6694511201387%2C%20%22lng%22%3A%2018.680818268178%2C%20%22zoom%22%3A%2020%7D")</f>
        <v>http://www.stromypodkontrolou.cz/map/?draw_selection_circle=1#%7B%22lat%22%3A%2049.6694511201387%2C%20%22lng%22%3A%2018.680818268178%2C%20%22zoom%22%3A%2020%7D</v>
      </c>
    </row>
    <row r="65" spans="1:16" ht="12.75">
      <c r="A65" s="5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 t="s">
        <v>171</v>
      </c>
      <c r="N65" s="9" t="s">
        <v>172</v>
      </c>
      <c r="O65" s="31"/>
      <c r="P65" s="9"/>
    </row>
    <row r="66" spans="1:16" s="16" customFormat="1" ht="48">
      <c r="A66" s="15" t="s">
        <v>550</v>
      </c>
      <c r="B66" s="10" t="s">
        <v>26</v>
      </c>
      <c r="C66" s="10">
        <v>123</v>
      </c>
      <c r="D66" s="10"/>
      <c r="E66" s="10" t="s">
        <v>21</v>
      </c>
      <c r="F66" s="10" t="s">
        <v>197</v>
      </c>
      <c r="G66" s="10">
        <v>24</v>
      </c>
      <c r="H66" s="10"/>
      <c r="I66" s="10"/>
      <c r="J66" s="10"/>
      <c r="K66" s="10">
        <v>17</v>
      </c>
      <c r="L66" s="10">
        <v>4</v>
      </c>
      <c r="M66" s="10" t="s">
        <v>169</v>
      </c>
      <c r="N66" s="10" t="s">
        <v>170</v>
      </c>
      <c r="O66" s="31"/>
      <c r="P66" s="10" t="str">
        <f>HYPERLINK("http://www.stromypodkontrolou.cz/map/?draw_selection_circle=1#%7B%22lat%22%3A%2049.6648961663302%2C%20%22lng%22%3A%2018.6754724068894%2C%20%22zoom%22%3A%2020%7D")</f>
        <v>http://www.stromypodkontrolou.cz/map/?draw_selection_circle=1#%7B%22lat%22%3A%2049.6648961663302%2C%20%22lng%22%3A%2018.6754724068894%2C%20%22zoom%22%3A%2020%7D</v>
      </c>
    </row>
    <row r="67" spans="1:16" s="16" customFormat="1" ht="12.75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 t="s">
        <v>171</v>
      </c>
      <c r="N67" s="10" t="s">
        <v>172</v>
      </c>
      <c r="O67" s="31"/>
      <c r="P67" s="10"/>
    </row>
    <row r="68" spans="1:16" ht="48">
      <c r="A68" s="4" t="s">
        <v>551</v>
      </c>
      <c r="B68" s="9" t="s">
        <v>38</v>
      </c>
      <c r="C68" s="9">
        <v>53</v>
      </c>
      <c r="D68" s="9"/>
      <c r="E68" s="9" t="s">
        <v>39</v>
      </c>
      <c r="F68" s="9" t="s">
        <v>235</v>
      </c>
      <c r="G68" s="9">
        <v>25</v>
      </c>
      <c r="H68" s="9"/>
      <c r="I68" s="9"/>
      <c r="J68" s="9"/>
      <c r="K68" s="9">
        <v>11</v>
      </c>
      <c r="L68" s="9">
        <v>5</v>
      </c>
      <c r="M68" s="9" t="s">
        <v>169</v>
      </c>
      <c r="N68" s="9" t="s">
        <v>170</v>
      </c>
      <c r="O68" s="31"/>
      <c r="P68" s="9" t="str">
        <f>HYPERLINK("http://www.stromypodkontrolou.cz/map/?draw_selection_circle=1#%7B%22lat%22%3A%2049.6620831635076%2C%20%22lng%22%3A%2018.6767881513371%2C%20%22zoom%22%3A%2020%7D")</f>
        <v>http://www.stromypodkontrolou.cz/map/?draw_selection_circle=1#%7B%22lat%22%3A%2049.6620831635076%2C%20%22lng%22%3A%2018.6767881513371%2C%20%22zoom%22%3A%2020%7D</v>
      </c>
    </row>
    <row r="69" spans="1:16" ht="12.75">
      <c r="A69" s="5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 t="s">
        <v>171</v>
      </c>
      <c r="N69" s="9" t="s">
        <v>172</v>
      </c>
      <c r="O69" s="31"/>
      <c r="P69" s="9"/>
    </row>
    <row r="70" spans="1:16" s="16" customFormat="1" ht="48">
      <c r="A70" s="15" t="s">
        <v>552</v>
      </c>
      <c r="B70" s="10" t="s">
        <v>40</v>
      </c>
      <c r="C70" s="10">
        <v>49</v>
      </c>
      <c r="D70" s="10"/>
      <c r="E70" s="10" t="s">
        <v>41</v>
      </c>
      <c r="F70" s="10" t="s">
        <v>238</v>
      </c>
      <c r="G70" s="10">
        <v>18</v>
      </c>
      <c r="H70" s="10">
        <v>16</v>
      </c>
      <c r="I70" s="10">
        <v>13</v>
      </c>
      <c r="J70" s="10">
        <v>11</v>
      </c>
      <c r="K70" s="10">
        <v>12</v>
      </c>
      <c r="L70" s="10">
        <v>7</v>
      </c>
      <c r="M70" s="10" t="s">
        <v>169</v>
      </c>
      <c r="N70" s="10" t="s">
        <v>170</v>
      </c>
      <c r="O70" s="31"/>
      <c r="P70" s="10" t="str">
        <f>HYPERLINK("http://www.stromypodkontrolou.cz/map/?draw_selection_circle=1#%7B%22lat%22%3A%2049.662444631%2C%20%22lng%22%3A%2018.6744748328%2C%20%22zoom%22%3A%2020%7D")</f>
        <v>http://www.stromypodkontrolou.cz/map/?draw_selection_circle=1#%7B%22lat%22%3A%2049.662444631%2C%20%22lng%22%3A%2018.6744748328%2C%20%22zoom%22%3A%2020%7D</v>
      </c>
    </row>
    <row r="71" spans="1:16" s="16" customFormat="1" ht="12.75">
      <c r="A71" s="2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 t="s">
        <v>171</v>
      </c>
      <c r="N71" s="10" t="s">
        <v>172</v>
      </c>
      <c r="O71" s="31"/>
      <c r="P71" s="10"/>
    </row>
    <row r="72" spans="1:16" ht="48">
      <c r="A72" s="4" t="s">
        <v>553</v>
      </c>
      <c r="B72" s="9" t="s">
        <v>40</v>
      </c>
      <c r="C72" s="9">
        <v>46</v>
      </c>
      <c r="D72" s="9"/>
      <c r="E72" s="9" t="s">
        <v>42</v>
      </c>
      <c r="F72" s="9" t="s">
        <v>241</v>
      </c>
      <c r="G72" s="9">
        <v>12</v>
      </c>
      <c r="H72" s="9"/>
      <c r="I72" s="9"/>
      <c r="J72" s="9"/>
      <c r="K72" s="9">
        <v>6</v>
      </c>
      <c r="L72" s="9">
        <v>3</v>
      </c>
      <c r="M72" s="9" t="s">
        <v>169</v>
      </c>
      <c r="N72" s="9" t="s">
        <v>170</v>
      </c>
      <c r="O72" s="31"/>
      <c r="P72" s="9" t="str">
        <f>HYPERLINK("http://www.stromypodkontrolou.cz/map/?draw_selection_circle=1#%7B%22lat%22%3A%2049.6623823788262%2C%20%22lng%22%3A%2018.674375013961%2C%20%22zoom%22%3A%2020%7D")</f>
        <v>http://www.stromypodkontrolou.cz/map/?draw_selection_circle=1#%7B%22lat%22%3A%2049.6623823788262%2C%20%22lng%22%3A%2018.674375013961%2C%20%22zoom%22%3A%2020%7D</v>
      </c>
    </row>
    <row r="73" spans="1:16" ht="12.75">
      <c r="A73" s="5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 t="s">
        <v>171</v>
      </c>
      <c r="N73" s="9" t="s">
        <v>172</v>
      </c>
      <c r="O73" s="31"/>
      <c r="P73" s="9"/>
    </row>
    <row r="74" spans="1:16" s="16" customFormat="1" ht="48">
      <c r="A74" s="15" t="s">
        <v>554</v>
      </c>
      <c r="B74" s="10" t="s">
        <v>43</v>
      </c>
      <c r="C74" s="10">
        <v>72</v>
      </c>
      <c r="D74" s="10"/>
      <c r="E74" s="10" t="s">
        <v>44</v>
      </c>
      <c r="F74" s="10" t="s">
        <v>242</v>
      </c>
      <c r="G74" s="10">
        <v>25</v>
      </c>
      <c r="H74" s="10">
        <v>20</v>
      </c>
      <c r="I74" s="10"/>
      <c r="J74" s="10"/>
      <c r="K74" s="10">
        <v>9</v>
      </c>
      <c r="L74" s="10">
        <v>8</v>
      </c>
      <c r="M74" s="10" t="s">
        <v>169</v>
      </c>
      <c r="N74" s="10" t="s">
        <v>170</v>
      </c>
      <c r="O74" s="31"/>
      <c r="P74" s="10" t="str">
        <f>HYPERLINK("http://www.stromypodkontrolou.cz/map/?draw_selection_circle=1#%7B%22lat%22%3A%2049.6757424483634%2C%20%22lng%22%3A%2018.6691232346649%2C%20%22zoom%22%3A%2020%7D")</f>
        <v>http://www.stromypodkontrolou.cz/map/?draw_selection_circle=1#%7B%22lat%22%3A%2049.6757424483634%2C%20%22lng%22%3A%2018.6691232346649%2C%20%22zoom%22%3A%2020%7D</v>
      </c>
    </row>
    <row r="75" spans="1:16" s="16" customFormat="1" ht="12.75">
      <c r="A75" s="2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 t="s">
        <v>171</v>
      </c>
      <c r="N75" s="10" t="s">
        <v>172</v>
      </c>
      <c r="O75" s="31"/>
      <c r="P75" s="10"/>
    </row>
    <row r="76" spans="1:16" ht="48">
      <c r="A76" s="4" t="s">
        <v>555</v>
      </c>
      <c r="B76" s="9" t="s">
        <v>43</v>
      </c>
      <c r="C76" s="9">
        <v>25</v>
      </c>
      <c r="D76" s="9"/>
      <c r="E76" s="9" t="s">
        <v>45</v>
      </c>
      <c r="F76" s="9" t="s">
        <v>245</v>
      </c>
      <c r="G76" s="9">
        <v>10</v>
      </c>
      <c r="H76" s="9"/>
      <c r="I76" s="9"/>
      <c r="J76" s="9"/>
      <c r="K76" s="9">
        <v>4</v>
      </c>
      <c r="L76" s="9">
        <v>4</v>
      </c>
      <c r="M76" s="9" t="s">
        <v>169</v>
      </c>
      <c r="N76" s="9" t="s">
        <v>170</v>
      </c>
      <c r="O76" s="31"/>
      <c r="P76" s="9" t="str">
        <f>HYPERLINK("http://www.stromypodkontrolou.cz/map/?draw_selection_circle=1#%7B%22lat%22%3A%2049.6750470128567%2C%20%22lng%22%3A%2018.6708026378386%2C%20%22zoom%22%3A%2020%7D")</f>
        <v>http://www.stromypodkontrolou.cz/map/?draw_selection_circle=1#%7B%22lat%22%3A%2049.6750470128567%2C%20%22lng%22%3A%2018.6708026378386%2C%20%22zoom%22%3A%2020%7D</v>
      </c>
    </row>
    <row r="77" spans="1:16" ht="12.75">
      <c r="A77" s="5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 t="s">
        <v>171</v>
      </c>
      <c r="N77" s="9" t="s">
        <v>172</v>
      </c>
      <c r="O77" s="31"/>
      <c r="P77" s="9"/>
    </row>
    <row r="78" spans="1:16" s="16" customFormat="1" ht="48">
      <c r="A78" s="15" t="s">
        <v>556</v>
      </c>
      <c r="B78" s="10" t="s">
        <v>43</v>
      </c>
      <c r="C78" s="10">
        <v>32</v>
      </c>
      <c r="D78" s="10"/>
      <c r="E78" s="10" t="s">
        <v>46</v>
      </c>
      <c r="F78" s="10" t="s">
        <v>248</v>
      </c>
      <c r="G78" s="10">
        <v>8</v>
      </c>
      <c r="H78" s="10"/>
      <c r="I78" s="10"/>
      <c r="J78" s="10"/>
      <c r="K78" s="10">
        <v>4</v>
      </c>
      <c r="L78" s="10">
        <v>1</v>
      </c>
      <c r="M78" s="10" t="s">
        <v>169</v>
      </c>
      <c r="N78" s="10" t="s">
        <v>170</v>
      </c>
      <c r="O78" s="31"/>
      <c r="P78" s="10" t="str">
        <f>HYPERLINK("http://www.stromypodkontrolou.cz/map/?draw_selection_circle=1#%7B%22lat%22%3A%2049.6752986833%2C%20%22lng%22%3A%2018.6705778876%2C%20%22zoom%22%3A%2020%7D")</f>
        <v>http://www.stromypodkontrolou.cz/map/?draw_selection_circle=1#%7B%22lat%22%3A%2049.6752986833%2C%20%22lng%22%3A%2018.6705778876%2C%20%22zoom%22%3A%2020%7D</v>
      </c>
    </row>
    <row r="79" spans="1:16" s="16" customFormat="1" ht="12.75">
      <c r="A79" s="2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 t="s">
        <v>171</v>
      </c>
      <c r="N79" s="10" t="s">
        <v>172</v>
      </c>
      <c r="O79" s="31"/>
      <c r="P79" s="10"/>
    </row>
    <row r="80" spans="1:16" ht="48">
      <c r="A80" s="4" t="s">
        <v>557</v>
      </c>
      <c r="B80" s="9" t="s">
        <v>47</v>
      </c>
      <c r="C80" s="9">
        <v>122</v>
      </c>
      <c r="D80" s="9"/>
      <c r="E80" s="9" t="s">
        <v>24</v>
      </c>
      <c r="F80" s="9" t="s">
        <v>200</v>
      </c>
      <c r="G80" s="9">
        <v>17</v>
      </c>
      <c r="H80" s="9"/>
      <c r="I80" s="9"/>
      <c r="J80" s="9"/>
      <c r="K80" s="9">
        <v>17</v>
      </c>
      <c r="L80" s="9">
        <v>3</v>
      </c>
      <c r="M80" s="9" t="s">
        <v>191</v>
      </c>
      <c r="N80" s="9" t="s">
        <v>192</v>
      </c>
      <c r="O80" s="31"/>
      <c r="P80" s="9" t="str">
        <f>HYPERLINK("http://www.stromypodkontrolou.cz/map/?draw_selection_circle=1#%7B%22lat%22%3A%2049.6778281210956%2C%20%22lng%22%3A%2018.6458741999197%2C%20%22zoom%22%3A%2020%7D")</f>
        <v>http://www.stromypodkontrolou.cz/map/?draw_selection_circle=1#%7B%22lat%22%3A%2049.6778281210956%2C%20%22lng%22%3A%2018.6458741999197%2C%20%22zoom%22%3A%2020%7D</v>
      </c>
    </row>
    <row r="81" spans="1:16" ht="12.75">
      <c r="A81" s="5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 t="s">
        <v>171</v>
      </c>
      <c r="N81" s="9" t="s">
        <v>172</v>
      </c>
      <c r="O81" s="31"/>
      <c r="P81" s="9"/>
    </row>
    <row r="82" spans="1:16" s="16" customFormat="1" ht="48">
      <c r="A82" s="18" t="s">
        <v>558</v>
      </c>
      <c r="B82" s="10" t="s">
        <v>43</v>
      </c>
      <c r="C82" s="10">
        <v>140</v>
      </c>
      <c r="D82" s="10"/>
      <c r="E82" s="10" t="s">
        <v>11</v>
      </c>
      <c r="F82" s="10" t="s">
        <v>173</v>
      </c>
      <c r="G82" s="10">
        <v>25</v>
      </c>
      <c r="H82" s="10"/>
      <c r="I82" s="10"/>
      <c r="J82" s="10"/>
      <c r="K82" s="10">
        <v>19</v>
      </c>
      <c r="L82" s="10">
        <v>6</v>
      </c>
      <c r="M82" s="10" t="s">
        <v>191</v>
      </c>
      <c r="N82" s="10" t="s">
        <v>192</v>
      </c>
      <c r="O82" s="31"/>
      <c r="P82" s="10" t="str">
        <f>HYPERLINK("http://www.stromypodkontrolou.cz/map/?draw_selection_circle=1#%7B%22lat%22%3A%2049.6739519508125%2C%20%22lng%22%3A%2018.6700141931997%2C%20%22zoom%22%3A%2020%7D")</f>
        <v>http://www.stromypodkontrolou.cz/map/?draw_selection_circle=1#%7B%22lat%22%3A%2049.6739519508125%2C%20%22lng%22%3A%2018.6700141931997%2C%20%22zoom%22%3A%2020%7D</v>
      </c>
    </row>
    <row r="83" spans="1:16" ht="48">
      <c r="A83" s="4" t="s">
        <v>559</v>
      </c>
      <c r="B83" s="9" t="s">
        <v>48</v>
      </c>
      <c r="C83" s="9">
        <v>27</v>
      </c>
      <c r="D83" s="9"/>
      <c r="E83" s="9" t="s">
        <v>24</v>
      </c>
      <c r="F83" s="9" t="s">
        <v>200</v>
      </c>
      <c r="G83" s="9">
        <v>34</v>
      </c>
      <c r="H83" s="9"/>
      <c r="I83" s="9"/>
      <c r="J83" s="9"/>
      <c r="K83" s="9">
        <v>18</v>
      </c>
      <c r="L83" s="9">
        <v>7</v>
      </c>
      <c r="M83" s="9" t="s">
        <v>191</v>
      </c>
      <c r="N83" s="9" t="s">
        <v>192</v>
      </c>
      <c r="O83" s="31"/>
      <c r="P83" s="9" t="str">
        <f>HYPERLINK("http://www.stromypodkontrolou.cz/map/?draw_selection_circle=1#%7B%22lat%22%3A%2049.663712261038%2C%20%22lng%22%3A%2018.6875587744694%2C%20%22zoom%22%3A%2020%7D")</f>
        <v>http://www.stromypodkontrolou.cz/map/?draw_selection_circle=1#%7B%22lat%22%3A%2049.663712261038%2C%20%22lng%22%3A%2018.6875587744694%2C%20%22zoom%22%3A%2020%7D</v>
      </c>
    </row>
    <row r="84" spans="1:16" ht="12.75">
      <c r="A84" s="5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 t="s">
        <v>171</v>
      </c>
      <c r="N84" s="9" t="s">
        <v>172</v>
      </c>
      <c r="O84" s="31"/>
      <c r="P84" s="9"/>
    </row>
    <row r="85" spans="1:16" s="16" customFormat="1" ht="48">
      <c r="A85" s="18" t="s">
        <v>560</v>
      </c>
      <c r="B85" s="10" t="s">
        <v>49</v>
      </c>
      <c r="C85" s="10">
        <v>19</v>
      </c>
      <c r="D85" s="10"/>
      <c r="E85" s="10" t="s">
        <v>23</v>
      </c>
      <c r="F85" s="10" t="s">
        <v>198</v>
      </c>
      <c r="G85" s="10">
        <v>17</v>
      </c>
      <c r="H85" s="10"/>
      <c r="I85" s="10"/>
      <c r="J85" s="10"/>
      <c r="K85" s="10">
        <v>12</v>
      </c>
      <c r="L85" s="10">
        <v>3</v>
      </c>
      <c r="M85" s="10" t="s">
        <v>169</v>
      </c>
      <c r="N85" s="10" t="s">
        <v>170</v>
      </c>
      <c r="O85" s="31"/>
      <c r="P85" s="10" t="str">
        <f>HYPERLINK("http://www.stromypodkontrolou.cz/map/?draw_selection_circle=1#%7B%22lat%22%3A%2049.6651923055565%2C%20%22lng%22%3A%2018.6825826314995%2C%20%22zoom%22%3A%2020%7D")</f>
        <v>http://www.stromypodkontrolou.cz/map/?draw_selection_circle=1#%7B%22lat%22%3A%2049.6651923055565%2C%20%22lng%22%3A%2018.6825826314995%2C%20%22zoom%22%3A%2020%7D</v>
      </c>
    </row>
    <row r="86" spans="1:16" ht="48">
      <c r="A86" s="19" t="s">
        <v>561</v>
      </c>
      <c r="B86" s="9" t="s">
        <v>50</v>
      </c>
      <c r="C86" s="9">
        <v>40</v>
      </c>
      <c r="D86" s="9"/>
      <c r="E86" s="9" t="s">
        <v>23</v>
      </c>
      <c r="F86" s="9" t="s">
        <v>198</v>
      </c>
      <c r="G86" s="9">
        <v>22</v>
      </c>
      <c r="H86" s="9"/>
      <c r="I86" s="9"/>
      <c r="J86" s="9"/>
      <c r="K86" s="9">
        <v>20</v>
      </c>
      <c r="L86" s="9">
        <v>2</v>
      </c>
      <c r="M86" s="9" t="s">
        <v>218</v>
      </c>
      <c r="N86" s="9" t="s">
        <v>219</v>
      </c>
      <c r="O86" s="31"/>
      <c r="P86" s="9" t="str">
        <f>HYPERLINK("http://www.stromypodkontrolou.cz/map/?draw_selection_circle=1#%7B%22lat%22%3A%2049.6631911234966%2C%20%22lng%22%3A%2018.6839122911068%2C%20%22zoom%22%3A%2020%7D")</f>
        <v>http://www.stromypodkontrolou.cz/map/?draw_selection_circle=1#%7B%22lat%22%3A%2049.6631911234966%2C%20%22lng%22%3A%2018.6839122911068%2C%20%22zoom%22%3A%2020%7D</v>
      </c>
    </row>
    <row r="87" spans="1:16" s="16" customFormat="1" ht="48">
      <c r="A87" s="18" t="s">
        <v>562</v>
      </c>
      <c r="B87" s="10" t="s">
        <v>51</v>
      </c>
      <c r="C87" s="10">
        <v>54</v>
      </c>
      <c r="D87" s="10"/>
      <c r="E87" s="10" t="s">
        <v>11</v>
      </c>
      <c r="F87" s="10" t="s">
        <v>173</v>
      </c>
      <c r="G87" s="10">
        <v>21</v>
      </c>
      <c r="H87" s="10"/>
      <c r="I87" s="10"/>
      <c r="J87" s="10"/>
      <c r="K87" s="10">
        <v>13</v>
      </c>
      <c r="L87" s="10">
        <v>4</v>
      </c>
      <c r="M87" s="10" t="s">
        <v>218</v>
      </c>
      <c r="N87" s="10" t="s">
        <v>219</v>
      </c>
      <c r="O87" s="31"/>
      <c r="P87" s="10" t="str">
        <f>HYPERLINK("http://www.stromypodkontrolou.cz/map/?draw_selection_circle=1#%7B%22lat%22%3A%2049.6626183963%2C%20%22lng%22%3A%2018.6844744003%2C%20%22zoom%22%3A%2020%7D")</f>
        <v>http://www.stromypodkontrolou.cz/map/?draw_selection_circle=1#%7B%22lat%22%3A%2049.6626183963%2C%20%22lng%22%3A%2018.6844744003%2C%20%22zoom%22%3A%2020%7D</v>
      </c>
    </row>
    <row r="88" spans="1:16" ht="48">
      <c r="A88" s="19" t="s">
        <v>563</v>
      </c>
      <c r="B88" s="9" t="s">
        <v>51</v>
      </c>
      <c r="C88" s="9">
        <v>53</v>
      </c>
      <c r="D88" s="9"/>
      <c r="E88" s="9" t="s">
        <v>10</v>
      </c>
      <c r="F88" s="9" t="s">
        <v>165</v>
      </c>
      <c r="G88" s="9">
        <v>6</v>
      </c>
      <c r="H88" s="9"/>
      <c r="I88" s="9"/>
      <c r="J88" s="9"/>
      <c r="K88" s="9">
        <v>6</v>
      </c>
      <c r="L88" s="9">
        <v>3</v>
      </c>
      <c r="M88" s="9" t="s">
        <v>169</v>
      </c>
      <c r="N88" s="9" t="s">
        <v>170</v>
      </c>
      <c r="O88" s="31"/>
      <c r="P88" s="9" t="str">
        <f>HYPERLINK("http://www.stromypodkontrolou.cz/map/?draw_selection_circle=1#%7B%22lat%22%3A%2049.662620581398%2C%20%22lng%22%3A%2018.6844839369121%2C%20%22zoom%22%3A%2020%7D")</f>
        <v>http://www.stromypodkontrolou.cz/map/?draw_selection_circle=1#%7B%22lat%22%3A%2049.662620581398%2C%20%22lng%22%3A%2018.6844839369121%2C%20%22zoom%22%3A%2020%7D</v>
      </c>
    </row>
    <row r="89" spans="1:16" s="16" customFormat="1" ht="48">
      <c r="A89" s="15" t="s">
        <v>564</v>
      </c>
      <c r="B89" s="10" t="s">
        <v>52</v>
      </c>
      <c r="C89" s="10">
        <v>25</v>
      </c>
      <c r="D89" s="10"/>
      <c r="E89" s="10" t="s">
        <v>53</v>
      </c>
      <c r="F89" s="10" t="s">
        <v>258</v>
      </c>
      <c r="G89" s="10">
        <v>23</v>
      </c>
      <c r="H89" s="10"/>
      <c r="I89" s="10"/>
      <c r="J89" s="10"/>
      <c r="K89" s="10">
        <v>6</v>
      </c>
      <c r="L89" s="10">
        <v>5</v>
      </c>
      <c r="M89" s="10" t="s">
        <v>169</v>
      </c>
      <c r="N89" s="10" t="s">
        <v>170</v>
      </c>
      <c r="O89" s="31"/>
      <c r="P89" s="10" t="str">
        <f>HYPERLINK("http://www.stromypodkontrolou.cz/map/?draw_selection_circle=1#%7B%22lat%22%3A%2049.6703758190489%2C%20%22lng%22%3A%2018.6797119831872%2C%20%22zoom%22%3A%2020%7D")</f>
        <v>http://www.stromypodkontrolou.cz/map/?draw_selection_circle=1#%7B%22lat%22%3A%2049.6703758190489%2C%20%22lng%22%3A%2018.6797119831872%2C%20%22zoom%22%3A%2020%7D</v>
      </c>
    </row>
    <row r="90" spans="1:16" s="16" customFormat="1" ht="12.75">
      <c r="A90" s="17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 t="s">
        <v>171</v>
      </c>
      <c r="N90" s="10" t="s">
        <v>172</v>
      </c>
      <c r="O90" s="31"/>
      <c r="P90" s="10"/>
    </row>
    <row r="91" spans="1:16" ht="48">
      <c r="A91" s="19" t="s">
        <v>565</v>
      </c>
      <c r="B91" s="9" t="s">
        <v>54</v>
      </c>
      <c r="C91" s="9">
        <v>34</v>
      </c>
      <c r="D91" s="9"/>
      <c r="E91" s="9" t="s">
        <v>55</v>
      </c>
      <c r="F91" s="9" t="s">
        <v>259</v>
      </c>
      <c r="G91" s="9">
        <v>14</v>
      </c>
      <c r="H91" s="9"/>
      <c r="I91" s="9"/>
      <c r="J91" s="9"/>
      <c r="K91" s="9">
        <v>5</v>
      </c>
      <c r="L91" s="9">
        <v>4</v>
      </c>
      <c r="M91" s="9" t="s">
        <v>169</v>
      </c>
      <c r="N91" s="9" t="s">
        <v>170</v>
      </c>
      <c r="O91" s="31"/>
      <c r="P91" s="9" t="str">
        <f>HYPERLINK("http://www.stromypodkontrolou.cz/map/?draw_selection_circle=1#%7B%22lat%22%3A%2049.6762723591358%2C%20%22lng%22%3A%2018.665656689976%2C%20%22zoom%22%3A%2020%7D")</f>
        <v>http://www.stromypodkontrolou.cz/map/?draw_selection_circle=1#%7B%22lat%22%3A%2049.6762723591358%2C%20%22lng%22%3A%2018.665656689976%2C%20%22zoom%22%3A%2020%7D</v>
      </c>
    </row>
    <row r="92" spans="1:16" s="16" customFormat="1" ht="48">
      <c r="A92" s="18" t="s">
        <v>566</v>
      </c>
      <c r="B92" s="10" t="s">
        <v>56</v>
      </c>
      <c r="C92" s="10">
        <v>245</v>
      </c>
      <c r="D92" s="10"/>
      <c r="E92" s="10" t="s">
        <v>57</v>
      </c>
      <c r="F92" s="10" t="s">
        <v>261</v>
      </c>
      <c r="G92" s="10">
        <v>37</v>
      </c>
      <c r="H92" s="10"/>
      <c r="I92" s="10"/>
      <c r="J92" s="10"/>
      <c r="K92" s="10">
        <v>12</v>
      </c>
      <c r="L92" s="10">
        <v>7</v>
      </c>
      <c r="M92" s="10" t="s">
        <v>218</v>
      </c>
      <c r="N92" s="10" t="s">
        <v>219</v>
      </c>
      <c r="O92" s="31"/>
      <c r="P92" s="10" t="str">
        <f>HYPERLINK("http://www.stromypodkontrolou.cz/map/?draw_selection_circle=1#%7B%22lat%22%3A%2049.671762613579%2C%20%22lng%22%3A%2018.6695169096935%2C%20%22zoom%22%3A%2020%7D")</f>
        <v>http://www.stromypodkontrolou.cz/map/?draw_selection_circle=1#%7B%22lat%22%3A%2049.671762613579%2C%20%22lng%22%3A%2018.6695169096935%2C%20%22zoom%22%3A%2020%7D</v>
      </c>
    </row>
    <row r="93" spans="1:16" ht="48">
      <c r="A93" s="19" t="s">
        <v>567</v>
      </c>
      <c r="B93" s="9" t="s">
        <v>56</v>
      </c>
      <c r="C93" s="9">
        <v>116</v>
      </c>
      <c r="D93" s="9"/>
      <c r="E93" s="9" t="s">
        <v>21</v>
      </c>
      <c r="F93" s="9" t="s">
        <v>197</v>
      </c>
      <c r="G93" s="9">
        <v>22</v>
      </c>
      <c r="H93" s="9"/>
      <c r="I93" s="9"/>
      <c r="J93" s="9"/>
      <c r="K93" s="9">
        <v>15</v>
      </c>
      <c r="L93" s="9">
        <v>6</v>
      </c>
      <c r="M93" s="9" t="s">
        <v>218</v>
      </c>
      <c r="N93" s="9" t="s">
        <v>219</v>
      </c>
      <c r="O93" s="31"/>
      <c r="P93" s="9" t="str">
        <f>HYPERLINK("http://www.stromypodkontrolou.cz/map/?draw_selection_circle=1#%7B%22lat%22%3A%2049.673355013661%2C%20%22lng%22%3A%2018.6693837194379%2C%20%22zoom%22%3A%2020%7D")</f>
        <v>http://www.stromypodkontrolou.cz/map/?draw_selection_circle=1#%7B%22lat%22%3A%2049.673355013661%2C%20%22lng%22%3A%2018.6693837194379%2C%20%22zoom%22%3A%2020%7D</v>
      </c>
    </row>
    <row r="94" spans="1:16" s="16" customFormat="1" ht="48">
      <c r="A94" s="15" t="s">
        <v>568</v>
      </c>
      <c r="B94" s="10" t="s">
        <v>58</v>
      </c>
      <c r="C94" s="10">
        <v>515</v>
      </c>
      <c r="D94" s="10"/>
      <c r="E94" s="10" t="s">
        <v>41</v>
      </c>
      <c r="F94" s="10" t="s">
        <v>238</v>
      </c>
      <c r="G94" s="10">
        <v>19</v>
      </c>
      <c r="H94" s="10">
        <v>18</v>
      </c>
      <c r="I94" s="10">
        <v>14</v>
      </c>
      <c r="J94" s="10"/>
      <c r="K94" s="10">
        <v>9</v>
      </c>
      <c r="L94" s="10">
        <v>6</v>
      </c>
      <c r="M94" s="10" t="s">
        <v>171</v>
      </c>
      <c r="N94" s="10" t="s">
        <v>172</v>
      </c>
      <c r="O94" s="31"/>
      <c r="P94" s="10" t="str">
        <f>HYPERLINK("http://www.stromypodkontrolou.cz/map/?draw_selection_circle=1#%7B%22lat%22%3A%2049.6749872947%2C%20%22lng%22%3A%2018.6687587415%2C%20%22zoom%22%3A%2020%7D")</f>
        <v>http://www.stromypodkontrolou.cz/map/?draw_selection_circle=1#%7B%22lat%22%3A%2049.6749872947%2C%20%22lng%22%3A%2018.6687587415%2C%20%22zoom%22%3A%2020%7D</v>
      </c>
    </row>
    <row r="95" spans="1:16" s="16" customFormat="1" ht="24">
      <c r="A95" s="2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 t="s">
        <v>191</v>
      </c>
      <c r="N95" s="10" t="s">
        <v>192</v>
      </c>
      <c r="O95" s="31"/>
      <c r="P95" s="10"/>
    </row>
    <row r="96" spans="1:16" ht="48">
      <c r="A96" s="4" t="s">
        <v>569</v>
      </c>
      <c r="B96" s="9" t="s">
        <v>59</v>
      </c>
      <c r="C96" s="9">
        <v>8</v>
      </c>
      <c r="D96" s="9"/>
      <c r="E96" s="9" t="s">
        <v>23</v>
      </c>
      <c r="F96" s="9" t="s">
        <v>198</v>
      </c>
      <c r="G96" s="9">
        <v>24</v>
      </c>
      <c r="H96" s="9"/>
      <c r="I96" s="9"/>
      <c r="J96" s="9"/>
      <c r="K96" s="9">
        <v>14</v>
      </c>
      <c r="L96" s="9">
        <v>6</v>
      </c>
      <c r="M96" s="9" t="s">
        <v>218</v>
      </c>
      <c r="N96" s="9" t="s">
        <v>219</v>
      </c>
      <c r="O96" s="31"/>
      <c r="P96" s="9" t="str">
        <f>HYPERLINK("http://www.stromypodkontrolou.cz/map/?draw_selection_circle=1#%7B%22lat%22%3A%2049.6737153427337%2C%20%22lng%22%3A%2018.6686948426334%2C%20%22zoom%22%3A%2020%7D")</f>
        <v>http://www.stromypodkontrolou.cz/map/?draw_selection_circle=1#%7B%22lat%22%3A%2049.6737153427337%2C%20%22lng%22%3A%2018.6686948426334%2C%20%22zoom%22%3A%2020%7D</v>
      </c>
    </row>
    <row r="97" spans="1:16" ht="12.75">
      <c r="A97" s="5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 t="s">
        <v>171</v>
      </c>
      <c r="N97" s="9" t="s">
        <v>172</v>
      </c>
      <c r="O97" s="31"/>
      <c r="P97" s="9"/>
    </row>
    <row r="98" spans="1:16" s="16" customFormat="1" ht="48">
      <c r="A98" s="15" t="s">
        <v>570</v>
      </c>
      <c r="B98" s="10" t="s">
        <v>60</v>
      </c>
      <c r="C98" s="10">
        <v>124</v>
      </c>
      <c r="D98" s="10"/>
      <c r="E98" s="10" t="s">
        <v>61</v>
      </c>
      <c r="F98" s="10" t="s">
        <v>270</v>
      </c>
      <c r="G98" s="10">
        <v>9</v>
      </c>
      <c r="H98" s="10"/>
      <c r="I98" s="10"/>
      <c r="J98" s="10"/>
      <c r="K98" s="10">
        <v>4</v>
      </c>
      <c r="L98" s="10">
        <v>2</v>
      </c>
      <c r="M98" s="10" t="s">
        <v>169</v>
      </c>
      <c r="N98" s="10" t="s">
        <v>170</v>
      </c>
      <c r="O98" s="31"/>
      <c r="P98" s="10" t="str">
        <f>HYPERLINK("http://www.stromypodkontrolou.cz/map/?draw_selection_circle=1#%7B%22lat%22%3A%2049.6719168308591%2C%20%22lng%22%3A%2018.6773191134867%2C%20%22zoom%22%3A%2020%7D")</f>
        <v>http://www.stromypodkontrolou.cz/map/?draw_selection_circle=1#%7B%22lat%22%3A%2049.6719168308591%2C%20%22lng%22%3A%2018.6773191134867%2C%20%22zoom%22%3A%2020%7D</v>
      </c>
    </row>
    <row r="99" spans="1:16" s="16" customFormat="1" ht="12.75">
      <c r="A99" s="2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 t="s">
        <v>171</v>
      </c>
      <c r="N99" s="10" t="s">
        <v>172</v>
      </c>
      <c r="O99" s="31"/>
      <c r="P99" s="10"/>
    </row>
    <row r="100" spans="1:16" ht="48">
      <c r="A100" s="4" t="s">
        <v>571</v>
      </c>
      <c r="B100" s="9" t="s">
        <v>60</v>
      </c>
      <c r="C100" s="9">
        <v>122</v>
      </c>
      <c r="D100" s="9"/>
      <c r="E100" s="9" t="s">
        <v>62</v>
      </c>
      <c r="F100" s="9" t="s">
        <v>272</v>
      </c>
      <c r="G100" s="9">
        <v>16</v>
      </c>
      <c r="H100" s="9"/>
      <c r="I100" s="9"/>
      <c r="J100" s="9"/>
      <c r="K100" s="9">
        <v>5</v>
      </c>
      <c r="L100" s="9">
        <v>3</v>
      </c>
      <c r="M100" s="9" t="s">
        <v>169</v>
      </c>
      <c r="N100" s="9" t="s">
        <v>170</v>
      </c>
      <c r="O100" s="31"/>
      <c r="P100" s="9" t="str">
        <f>HYPERLINK("http://www.stromypodkontrolou.cz/map/?draw_selection_circle=1#%7B%22lat%22%3A%2049.6719050028145%2C%20%22lng%22%3A%2018.6772984963847%2C%20%22zoom%22%3A%2020%7D")</f>
        <v>http://www.stromypodkontrolou.cz/map/?draw_selection_circle=1#%7B%22lat%22%3A%2049.6719050028145%2C%20%22lng%22%3A%2018.6772984963847%2C%20%22zoom%22%3A%2020%7D</v>
      </c>
    </row>
    <row r="101" spans="1:16" ht="12.75">
      <c r="A101" s="5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 t="s">
        <v>171</v>
      </c>
      <c r="N101" s="9" t="s">
        <v>172</v>
      </c>
      <c r="O101" s="31"/>
      <c r="P101" s="9"/>
    </row>
    <row r="102" spans="1:16" s="16" customFormat="1" ht="48">
      <c r="A102" s="15" t="s">
        <v>572</v>
      </c>
      <c r="B102" s="10" t="s">
        <v>60</v>
      </c>
      <c r="C102" s="10">
        <v>120</v>
      </c>
      <c r="D102" s="10"/>
      <c r="E102" s="10" t="s">
        <v>62</v>
      </c>
      <c r="F102" s="10" t="s">
        <v>272</v>
      </c>
      <c r="G102" s="10">
        <v>16</v>
      </c>
      <c r="H102" s="10"/>
      <c r="I102" s="10"/>
      <c r="J102" s="10"/>
      <c r="K102" s="10">
        <v>5</v>
      </c>
      <c r="L102" s="10">
        <v>4</v>
      </c>
      <c r="M102" s="10" t="s">
        <v>171</v>
      </c>
      <c r="N102" s="10" t="s">
        <v>172</v>
      </c>
      <c r="O102" s="31"/>
      <c r="P102" s="10" t="str">
        <f>HYPERLINK("http://www.stromypodkontrolou.cz/map/?draw_selection_circle=1#%7B%22lat%22%3A%2049.6718891534316%2C%20%22lng%22%3A%2018.677315187727%2C%20%22zoom%22%3A%2020%7D")</f>
        <v>http://www.stromypodkontrolou.cz/map/?draw_selection_circle=1#%7B%22lat%22%3A%2049.6718891534316%2C%20%22lng%22%3A%2018.677315187727%2C%20%22zoom%22%3A%2020%7D</v>
      </c>
    </row>
    <row r="103" spans="1:16" s="16" customFormat="1" ht="12.75">
      <c r="A103" s="2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 t="s">
        <v>169</v>
      </c>
      <c r="N103" s="10" t="s">
        <v>170</v>
      </c>
      <c r="O103" s="31"/>
      <c r="P103" s="10"/>
    </row>
    <row r="104" spans="1:16" ht="48">
      <c r="A104" s="4" t="s">
        <v>573</v>
      </c>
      <c r="B104" s="9" t="s">
        <v>63</v>
      </c>
      <c r="C104" s="9">
        <v>267</v>
      </c>
      <c r="D104" s="9"/>
      <c r="E104" s="9" t="s">
        <v>21</v>
      </c>
      <c r="F104" s="9" t="s">
        <v>197</v>
      </c>
      <c r="G104" s="9">
        <v>30</v>
      </c>
      <c r="H104" s="9"/>
      <c r="I104" s="9"/>
      <c r="J104" s="9"/>
      <c r="K104" s="9">
        <v>22</v>
      </c>
      <c r="L104" s="9">
        <v>6</v>
      </c>
      <c r="M104" s="9" t="s">
        <v>191</v>
      </c>
      <c r="N104" s="9" t="s">
        <v>192</v>
      </c>
      <c r="O104" s="31"/>
      <c r="P104" s="9" t="str">
        <f>HYPERLINK("http://www.stromypodkontrolou.cz/map/?draw_selection_circle=1#%7B%22lat%22%3A%2049.6717044890993%2C%20%22lng%22%3A%2018.6794294326991%2C%20%22zoom%22%3A%2020%7D")</f>
        <v>http://www.stromypodkontrolou.cz/map/?draw_selection_circle=1#%7B%22lat%22%3A%2049.6717044890993%2C%20%22lng%22%3A%2018.6794294326991%2C%20%22zoom%22%3A%2020%7D</v>
      </c>
    </row>
    <row r="105" spans="1:16" ht="12.75">
      <c r="A105" s="5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 t="s">
        <v>171</v>
      </c>
      <c r="N105" s="9" t="s">
        <v>172</v>
      </c>
      <c r="O105" s="31"/>
      <c r="P105" s="9"/>
    </row>
    <row r="106" spans="1:16" s="16" customFormat="1" ht="48">
      <c r="A106" s="15" t="s">
        <v>574</v>
      </c>
      <c r="B106" s="10" t="s">
        <v>64</v>
      </c>
      <c r="C106" s="10">
        <v>50</v>
      </c>
      <c r="D106" s="10"/>
      <c r="E106" s="10" t="s">
        <v>10</v>
      </c>
      <c r="F106" s="10" t="s">
        <v>165</v>
      </c>
      <c r="G106" s="10">
        <v>15</v>
      </c>
      <c r="H106" s="10"/>
      <c r="I106" s="10"/>
      <c r="J106" s="10"/>
      <c r="K106" s="10">
        <v>10</v>
      </c>
      <c r="L106" s="10">
        <v>4</v>
      </c>
      <c r="M106" s="10" t="s">
        <v>169</v>
      </c>
      <c r="N106" s="10" t="s">
        <v>170</v>
      </c>
      <c r="O106" s="31"/>
      <c r="P106" s="10" t="str">
        <f>HYPERLINK("http://www.stromypodkontrolou.cz/map/?draw_selection_circle=1#%7B%22lat%22%3A%2049.6631931753%2C%20%22lng%22%3A%2018.6850327648%2C%20%22zoom%22%3A%2020%7D")</f>
        <v>http://www.stromypodkontrolou.cz/map/?draw_selection_circle=1#%7B%22lat%22%3A%2049.6631931753%2C%20%22lng%22%3A%2018.6850327648%2C%20%22zoom%22%3A%2020%7D</v>
      </c>
    </row>
    <row r="107" spans="1:16" s="16" customFormat="1" ht="12.75">
      <c r="A107" s="17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 t="s">
        <v>171</v>
      </c>
      <c r="N107" s="10" t="s">
        <v>172</v>
      </c>
      <c r="O107" s="31"/>
      <c r="P107" s="10"/>
    </row>
    <row r="108" spans="1:16" ht="48">
      <c r="A108" s="4" t="s">
        <v>575</v>
      </c>
      <c r="B108" s="9" t="s">
        <v>48</v>
      </c>
      <c r="C108" s="9">
        <v>25</v>
      </c>
      <c r="D108" s="9"/>
      <c r="E108" s="9" t="s">
        <v>24</v>
      </c>
      <c r="F108" s="9" t="s">
        <v>200</v>
      </c>
      <c r="G108" s="9">
        <v>24</v>
      </c>
      <c r="H108" s="9"/>
      <c r="I108" s="9"/>
      <c r="J108" s="9"/>
      <c r="K108" s="9">
        <v>18</v>
      </c>
      <c r="L108" s="9">
        <v>4</v>
      </c>
      <c r="M108" s="9" t="s">
        <v>218</v>
      </c>
      <c r="N108" s="9" t="s">
        <v>219</v>
      </c>
      <c r="O108" s="31"/>
      <c r="P108" s="9" t="str">
        <f>HYPERLINK("http://www.stromypodkontrolou.cz/map/?draw_selection_circle=1#%7B%22lat%22%3A%2049.6637656491114%2C%20%22lng%22%3A%2018.6877088215842%2C%20%22zoom%22%3A%2020%7D")</f>
        <v>http://www.stromypodkontrolou.cz/map/?draw_selection_circle=1#%7B%22lat%22%3A%2049.6637656491114%2C%20%22lng%22%3A%2018.6877088215842%2C%20%22zoom%22%3A%2020%7D</v>
      </c>
    </row>
    <row r="109" spans="1:16" ht="12.75">
      <c r="A109" s="5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 t="s">
        <v>171</v>
      </c>
      <c r="N109" s="9" t="s">
        <v>172</v>
      </c>
      <c r="O109" s="31"/>
      <c r="P109" s="9"/>
    </row>
    <row r="110" spans="1:16" s="16" customFormat="1" ht="48">
      <c r="A110" s="15" t="s">
        <v>576</v>
      </c>
      <c r="B110" s="10" t="s">
        <v>48</v>
      </c>
      <c r="C110" s="10">
        <v>28</v>
      </c>
      <c r="D110" s="10"/>
      <c r="E110" s="10" t="s">
        <v>24</v>
      </c>
      <c r="F110" s="10" t="s">
        <v>200</v>
      </c>
      <c r="G110" s="10">
        <v>10</v>
      </c>
      <c r="H110" s="10">
        <v>8</v>
      </c>
      <c r="I110" s="10">
        <v>5</v>
      </c>
      <c r="J110" s="10">
        <v>5</v>
      </c>
      <c r="K110" s="10">
        <v>6</v>
      </c>
      <c r="L110" s="10">
        <v>4</v>
      </c>
      <c r="M110" s="10" t="s">
        <v>171</v>
      </c>
      <c r="N110" s="10" t="s">
        <v>172</v>
      </c>
      <c r="O110" s="31"/>
      <c r="P110" s="10" t="str">
        <f>HYPERLINK("http://www.stromypodkontrolou.cz/map/?draw_selection_circle=1#%7B%22lat%22%3A%2049.6637106767%2C%20%22lng%22%3A%2018.6874993425%2C%20%22zoom%22%3A%2020%7D")</f>
        <v>http://www.stromypodkontrolou.cz/map/?draw_selection_circle=1#%7B%22lat%22%3A%2049.6637106767%2C%20%22lng%22%3A%2018.6874993425%2C%20%22zoom%22%3A%2020%7D</v>
      </c>
    </row>
    <row r="111" spans="1:16" s="16" customFormat="1" ht="12.75">
      <c r="A111" s="2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 t="s">
        <v>169</v>
      </c>
      <c r="N111" s="10" t="s">
        <v>170</v>
      </c>
      <c r="O111" s="31"/>
      <c r="P111" s="10"/>
    </row>
    <row r="112" spans="1:16" ht="48">
      <c r="A112" s="4" t="s">
        <v>577</v>
      </c>
      <c r="B112" s="9" t="s">
        <v>48</v>
      </c>
      <c r="C112" s="9">
        <v>17</v>
      </c>
      <c r="D112" s="9"/>
      <c r="E112" s="9" t="s">
        <v>24</v>
      </c>
      <c r="F112" s="9" t="s">
        <v>200</v>
      </c>
      <c r="G112" s="9">
        <v>25</v>
      </c>
      <c r="H112" s="9"/>
      <c r="I112" s="9"/>
      <c r="J112" s="9"/>
      <c r="K112" s="9">
        <v>16</v>
      </c>
      <c r="L112" s="9">
        <v>5</v>
      </c>
      <c r="M112" s="9" t="s">
        <v>218</v>
      </c>
      <c r="N112" s="9" t="s">
        <v>219</v>
      </c>
      <c r="O112" s="31"/>
      <c r="P112" s="9" t="str">
        <f>HYPERLINK("http://www.stromypodkontrolou.cz/map/?draw_selection_circle=1#%7B%22lat%22%3A%2049.6636703819334%2C%20%22lng%22%3A%2018.6877297905806%2C%20%22zoom%22%3A%2020%7D")</f>
        <v>http://www.stromypodkontrolou.cz/map/?draw_selection_circle=1#%7B%22lat%22%3A%2049.6636703819334%2C%20%22lng%22%3A%2018.6877297905806%2C%20%22zoom%22%3A%2020%7D</v>
      </c>
    </row>
    <row r="113" spans="1:16" ht="12.75">
      <c r="A113" s="5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 t="s">
        <v>171</v>
      </c>
      <c r="N113" s="9" t="s">
        <v>172</v>
      </c>
      <c r="O113" s="31"/>
      <c r="P113" s="9"/>
    </row>
    <row r="114" spans="1:16" s="16" customFormat="1" ht="48">
      <c r="A114" s="15" t="s">
        <v>578</v>
      </c>
      <c r="B114" s="10" t="s">
        <v>48</v>
      </c>
      <c r="C114" s="10">
        <v>40</v>
      </c>
      <c r="D114" s="10"/>
      <c r="E114" s="10" t="s">
        <v>24</v>
      </c>
      <c r="F114" s="10" t="s">
        <v>200</v>
      </c>
      <c r="G114" s="10">
        <v>13</v>
      </c>
      <c r="H114" s="10"/>
      <c r="I114" s="10"/>
      <c r="J114" s="10"/>
      <c r="K114" s="10">
        <v>5</v>
      </c>
      <c r="L114" s="10">
        <v>4</v>
      </c>
      <c r="M114" s="10" t="s">
        <v>171</v>
      </c>
      <c r="N114" s="10" t="s">
        <v>172</v>
      </c>
      <c r="O114" s="31"/>
      <c r="P114" s="10" t="str">
        <f>HYPERLINK("http://www.stromypodkontrolou.cz/map/?draw_selection_circle=1#%7B%22lat%22%3A%2049.6639721999%2C%20%22lng%22%3A%2018.6875923833%2C%20%22zoom%22%3A%2020%7D")</f>
        <v>http://www.stromypodkontrolou.cz/map/?draw_selection_circle=1#%7B%22lat%22%3A%2049.6639721999%2C%20%22lng%22%3A%2018.6875923833%2C%20%22zoom%22%3A%2020%7D</v>
      </c>
    </row>
    <row r="115" spans="1:16" s="16" customFormat="1" ht="12.75">
      <c r="A115" s="2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 t="s">
        <v>169</v>
      </c>
      <c r="N115" s="10" t="s">
        <v>170</v>
      </c>
      <c r="O115" s="31"/>
      <c r="P115" s="10"/>
    </row>
    <row r="116" spans="1:16" ht="48">
      <c r="A116" s="19" t="s">
        <v>579</v>
      </c>
      <c r="B116" s="9" t="s">
        <v>33</v>
      </c>
      <c r="C116" s="9">
        <v>29</v>
      </c>
      <c r="D116" s="9"/>
      <c r="E116" s="9" t="s">
        <v>42</v>
      </c>
      <c r="F116" s="9" t="s">
        <v>241</v>
      </c>
      <c r="G116" s="9">
        <v>13</v>
      </c>
      <c r="H116" s="9"/>
      <c r="I116" s="9"/>
      <c r="J116" s="9"/>
      <c r="K116" s="9">
        <v>8</v>
      </c>
      <c r="L116" s="9">
        <v>4</v>
      </c>
      <c r="M116" s="9" t="s">
        <v>169</v>
      </c>
      <c r="N116" s="9" t="s">
        <v>170</v>
      </c>
      <c r="O116" s="31"/>
      <c r="P116" s="9" t="str">
        <f>HYPERLINK("http://www.stromypodkontrolou.cz/map/?draw_selection_circle=1#%7B%22lat%22%3A%2049.6612946721281%2C%20%22lng%22%3A%2018.6763035591501%2C%20%22zoom%22%3A%2020%7D")</f>
        <v>http://www.stromypodkontrolou.cz/map/?draw_selection_circle=1#%7B%22lat%22%3A%2049.6612946721281%2C%20%22lng%22%3A%2018.6763035591501%2C%20%22zoom%22%3A%2020%7D</v>
      </c>
    </row>
    <row r="117" spans="1:16" s="16" customFormat="1" ht="48">
      <c r="A117" s="18" t="s">
        <v>580</v>
      </c>
      <c r="B117" s="10" t="s">
        <v>26</v>
      </c>
      <c r="C117" s="10">
        <v>336</v>
      </c>
      <c r="D117" s="10"/>
      <c r="E117" s="10" t="s">
        <v>65</v>
      </c>
      <c r="F117" s="10" t="s">
        <v>280</v>
      </c>
      <c r="G117" s="10">
        <v>9</v>
      </c>
      <c r="H117" s="10"/>
      <c r="I117" s="10"/>
      <c r="J117" s="10"/>
      <c r="K117" s="10">
        <v>4</v>
      </c>
      <c r="L117" s="10">
        <v>3</v>
      </c>
      <c r="M117" s="10" t="s">
        <v>169</v>
      </c>
      <c r="N117" s="10" t="s">
        <v>170</v>
      </c>
      <c r="O117" s="31"/>
      <c r="P117" s="10" t="str">
        <f>HYPERLINK("http://www.stromypodkontrolou.cz/map/?draw_selection_circle=1#%7B%22lat%22%3A%2049.6613551216356%2C%20%22lng%22%3A%2018.6762428496759%2C%20%22zoom%22%3A%2020%7D")</f>
        <v>http://www.stromypodkontrolou.cz/map/?draw_selection_circle=1#%7B%22lat%22%3A%2049.6613551216356%2C%20%22lng%22%3A%2018.6762428496759%2C%20%22zoom%22%3A%2020%7D</v>
      </c>
    </row>
    <row r="118" spans="1:16" ht="48">
      <c r="A118" s="19" t="s">
        <v>581</v>
      </c>
      <c r="B118" s="9" t="s">
        <v>33</v>
      </c>
      <c r="C118" s="9">
        <v>27</v>
      </c>
      <c r="D118" s="9"/>
      <c r="E118" s="9" t="s">
        <v>42</v>
      </c>
      <c r="F118" s="9" t="s">
        <v>241</v>
      </c>
      <c r="G118" s="9">
        <v>19</v>
      </c>
      <c r="H118" s="9"/>
      <c r="I118" s="9"/>
      <c r="J118" s="9"/>
      <c r="K118" s="9">
        <v>11</v>
      </c>
      <c r="L118" s="9">
        <v>3</v>
      </c>
      <c r="M118" s="9" t="s">
        <v>191</v>
      </c>
      <c r="N118" s="9" t="s">
        <v>192</v>
      </c>
      <c r="O118" s="31"/>
      <c r="P118" s="9" t="str">
        <f>HYPERLINK("http://www.stromypodkontrolou.cz/map/?draw_selection_circle=1#%7B%22lat%22%3A%2049.6613069079539%2C%20%22lng%22%3A%2018.6762818281498%2C%20%22zoom%22%3A%2020%7D")</f>
        <v>http://www.stromypodkontrolou.cz/map/?draw_selection_circle=1#%7B%22lat%22%3A%2049.6613069079539%2C%20%22lng%22%3A%2018.6762818281498%2C%20%22zoom%22%3A%2020%7D</v>
      </c>
    </row>
    <row r="119" spans="1:16" s="16" customFormat="1" ht="48">
      <c r="A119" s="15" t="s">
        <v>582</v>
      </c>
      <c r="B119" s="10" t="s">
        <v>66</v>
      </c>
      <c r="C119" s="10">
        <v>138</v>
      </c>
      <c r="D119" s="10"/>
      <c r="E119" s="10" t="s">
        <v>13</v>
      </c>
      <c r="F119" s="10" t="s">
        <v>175</v>
      </c>
      <c r="G119" s="10">
        <v>9</v>
      </c>
      <c r="H119" s="10"/>
      <c r="I119" s="10"/>
      <c r="J119" s="10"/>
      <c r="K119" s="10">
        <v>10</v>
      </c>
      <c r="L119" s="10">
        <v>2</v>
      </c>
      <c r="M119" s="10" t="s">
        <v>169</v>
      </c>
      <c r="N119" s="10" t="s">
        <v>170</v>
      </c>
      <c r="O119" s="31"/>
      <c r="P119" s="10" t="str">
        <f>HYPERLINK("http://www.stromypodkontrolou.cz/map/?draw_selection_circle=1#%7B%22lat%22%3A%2049.6628522846096%2C%20%22lng%22%3A%2018.6827307817603%2C%20%22zoom%22%3A%2020%7D")</f>
        <v>http://www.stromypodkontrolou.cz/map/?draw_selection_circle=1#%7B%22lat%22%3A%2049.6628522846096%2C%20%22lng%22%3A%2018.6827307817603%2C%20%22zoom%22%3A%2020%7D</v>
      </c>
    </row>
    <row r="120" spans="1:16" s="16" customFormat="1" ht="12.75">
      <c r="A120" s="2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 t="s">
        <v>171</v>
      </c>
      <c r="N120" s="10" t="s">
        <v>172</v>
      </c>
      <c r="O120" s="31"/>
      <c r="P120" s="10"/>
    </row>
    <row r="121" spans="1:16" ht="48">
      <c r="A121" s="4" t="s">
        <v>583</v>
      </c>
      <c r="B121" s="9" t="s">
        <v>66</v>
      </c>
      <c r="C121" s="9">
        <v>139</v>
      </c>
      <c r="D121" s="9"/>
      <c r="E121" s="9" t="s">
        <v>13</v>
      </c>
      <c r="F121" s="9" t="s">
        <v>175</v>
      </c>
      <c r="G121" s="9">
        <v>14</v>
      </c>
      <c r="H121" s="9">
        <v>12</v>
      </c>
      <c r="I121" s="9"/>
      <c r="J121" s="9"/>
      <c r="K121" s="9">
        <v>13</v>
      </c>
      <c r="L121" s="9">
        <v>3</v>
      </c>
      <c r="M121" s="9" t="s">
        <v>218</v>
      </c>
      <c r="N121" s="9" t="s">
        <v>219</v>
      </c>
      <c r="O121" s="31"/>
      <c r="P121" s="9" t="str">
        <f>HYPERLINK("http://www.stromypodkontrolou.cz/map/?draw_selection_circle=1#%7B%22lat%22%3A%2049.6628429816888%2C%20%22lng%22%3A%2018.6827356156904%2C%20%22zoom%22%3A%2020%7D")</f>
        <v>http://www.stromypodkontrolou.cz/map/?draw_selection_circle=1#%7B%22lat%22%3A%2049.6628429816888%2C%20%22lng%22%3A%2018.6827356156904%2C%20%22zoom%22%3A%2020%7D</v>
      </c>
    </row>
    <row r="122" spans="1:16" ht="12.75">
      <c r="A122" s="5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 t="s">
        <v>171</v>
      </c>
      <c r="N122" s="9" t="s">
        <v>172</v>
      </c>
      <c r="O122" s="31"/>
      <c r="P122" s="9"/>
    </row>
    <row r="123" spans="1:16" s="16" customFormat="1" ht="48">
      <c r="A123" s="15" t="s">
        <v>584</v>
      </c>
      <c r="B123" s="10" t="s">
        <v>35</v>
      </c>
      <c r="C123" s="10">
        <v>36</v>
      </c>
      <c r="D123" s="10"/>
      <c r="E123" s="10" t="s">
        <v>67</v>
      </c>
      <c r="F123" s="10" t="s">
        <v>284</v>
      </c>
      <c r="G123" s="10">
        <v>13</v>
      </c>
      <c r="H123" s="10"/>
      <c r="I123" s="10"/>
      <c r="J123" s="10"/>
      <c r="K123" s="10">
        <v>8</v>
      </c>
      <c r="L123" s="10">
        <v>3</v>
      </c>
      <c r="M123" s="10" t="s">
        <v>171</v>
      </c>
      <c r="N123" s="10" t="s">
        <v>172</v>
      </c>
      <c r="O123" s="31"/>
      <c r="P123" s="10" t="str">
        <f>HYPERLINK("http://www.stromypodkontrolou.cz/map/?draw_selection_circle=1#%7B%22lat%22%3A%2049.6677278845626%2C%20%22lng%22%3A%2018.6792238795041%2C%20%22zoom%22%3A%2020%7D")</f>
        <v>http://www.stromypodkontrolou.cz/map/?draw_selection_circle=1#%7B%22lat%22%3A%2049.6677278845626%2C%20%22lng%22%3A%2018.6792238795041%2C%20%22zoom%22%3A%2020%7D</v>
      </c>
    </row>
    <row r="124" spans="1:16" s="16" customFormat="1" ht="12.75">
      <c r="A124" s="2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 t="s">
        <v>169</v>
      </c>
      <c r="N124" s="10" t="s">
        <v>170</v>
      </c>
      <c r="O124" s="31"/>
      <c r="P124" s="10"/>
    </row>
    <row r="125" spans="1:16" ht="48">
      <c r="A125" s="19" t="s">
        <v>585</v>
      </c>
      <c r="B125" s="9" t="s">
        <v>68</v>
      </c>
      <c r="C125" s="9">
        <v>16</v>
      </c>
      <c r="D125" s="9" t="s">
        <v>69</v>
      </c>
      <c r="E125" s="9" t="s">
        <v>70</v>
      </c>
      <c r="F125" s="9" t="s">
        <v>285</v>
      </c>
      <c r="G125" s="9">
        <v>15</v>
      </c>
      <c r="H125" s="9">
        <v>12</v>
      </c>
      <c r="I125" s="9"/>
      <c r="J125" s="9"/>
      <c r="K125" s="9">
        <v>10</v>
      </c>
      <c r="L125" s="9">
        <v>3</v>
      </c>
      <c r="M125" s="9" t="s">
        <v>169</v>
      </c>
      <c r="N125" s="9" t="s">
        <v>170</v>
      </c>
      <c r="O125" s="31"/>
      <c r="P125" s="9" t="str">
        <f>HYPERLINK("http://www.stromypodkontrolou.cz/map/?draw_selection_circle=1#%7B%22lat%22%3A%2049.66808010645%2C%20%22lng%22%3A%2018.6794141173391%2C%20%22zoom%22%3A%2020%7D")</f>
        <v>http://www.stromypodkontrolou.cz/map/?draw_selection_circle=1#%7B%22lat%22%3A%2049.66808010645%2C%20%22lng%22%3A%2018.6794141173391%2C%20%22zoom%22%3A%2020%7D</v>
      </c>
    </row>
    <row r="126" spans="1:16" s="16" customFormat="1" ht="48">
      <c r="A126" s="18" t="s">
        <v>586</v>
      </c>
      <c r="B126" s="10" t="s">
        <v>68</v>
      </c>
      <c r="C126" s="10">
        <v>4</v>
      </c>
      <c r="D126" s="10" t="s">
        <v>71</v>
      </c>
      <c r="E126" s="10" t="s">
        <v>23</v>
      </c>
      <c r="F126" s="10" t="s">
        <v>198</v>
      </c>
      <c r="G126" s="10">
        <v>24</v>
      </c>
      <c r="H126" s="10"/>
      <c r="I126" s="10"/>
      <c r="J126" s="10"/>
      <c r="K126" s="10">
        <v>22</v>
      </c>
      <c r="L126" s="10">
        <v>4</v>
      </c>
      <c r="M126" s="10" t="s">
        <v>169</v>
      </c>
      <c r="N126" s="10" t="s">
        <v>170</v>
      </c>
      <c r="O126" s="31"/>
      <c r="P126" s="10" t="str">
        <f>HYPERLINK("http://www.stromypodkontrolou.cz/map/?draw_selection_circle=1#%7B%22lat%22%3A%2049.6682601064435%2C%20%22lng%22%3A%2018.6790091172012%2C%20%22zoom%22%3A%2020%7D")</f>
        <v>http://www.stromypodkontrolou.cz/map/?draw_selection_circle=1#%7B%22lat%22%3A%2049.6682601064435%2C%20%22lng%22%3A%2018.6790091172012%2C%20%22zoom%22%3A%2020%7D</v>
      </c>
    </row>
    <row r="127" spans="1:16" ht="48">
      <c r="A127" s="4" t="s">
        <v>587</v>
      </c>
      <c r="B127" s="9" t="s">
        <v>25</v>
      </c>
      <c r="C127" s="9">
        <v>109</v>
      </c>
      <c r="D127" s="9"/>
      <c r="E127" s="9" t="s">
        <v>28</v>
      </c>
      <c r="F127" s="9" t="s">
        <v>207</v>
      </c>
      <c r="G127" s="9">
        <v>15</v>
      </c>
      <c r="H127" s="9"/>
      <c r="I127" s="9"/>
      <c r="J127" s="9"/>
      <c r="K127" s="9">
        <v>7</v>
      </c>
      <c r="L127" s="9">
        <v>2</v>
      </c>
      <c r="M127" s="9" t="s">
        <v>171</v>
      </c>
      <c r="N127" s="9" t="s">
        <v>172</v>
      </c>
      <c r="O127" s="31"/>
      <c r="P127" s="9" t="str">
        <f>HYPERLINK("http://www.stromypodkontrolou.cz/map/?draw_selection_circle=1#%7B%22lat%22%3A%2049.6653533968419%2C%20%22lng%22%3A%2018.6730397384373%2C%20%22zoom%22%3A%2020%7D")</f>
        <v>http://www.stromypodkontrolou.cz/map/?draw_selection_circle=1#%7B%22lat%22%3A%2049.6653533968419%2C%20%22lng%22%3A%2018.6730397384373%2C%20%22zoom%22%3A%2020%7D</v>
      </c>
    </row>
    <row r="128" spans="1:16" ht="12.75">
      <c r="A128" s="5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 t="s">
        <v>169</v>
      </c>
      <c r="N128" s="9" t="s">
        <v>170</v>
      </c>
      <c r="O128" s="31"/>
      <c r="P128" s="9"/>
    </row>
    <row r="129" spans="1:16" s="16" customFormat="1" ht="48">
      <c r="A129" s="18" t="s">
        <v>588</v>
      </c>
      <c r="B129" s="10" t="s">
        <v>25</v>
      </c>
      <c r="C129" s="10">
        <v>102</v>
      </c>
      <c r="D129" s="10"/>
      <c r="E129" s="10" t="s">
        <v>41</v>
      </c>
      <c r="F129" s="10" t="s">
        <v>238</v>
      </c>
      <c r="G129" s="10">
        <v>38</v>
      </c>
      <c r="H129" s="10"/>
      <c r="I129" s="10"/>
      <c r="J129" s="10"/>
      <c r="K129" s="10">
        <v>13</v>
      </c>
      <c r="L129" s="10">
        <v>9</v>
      </c>
      <c r="M129" s="10" t="s">
        <v>169</v>
      </c>
      <c r="N129" s="10" t="s">
        <v>170</v>
      </c>
      <c r="O129" s="31"/>
      <c r="P129" s="10" t="str">
        <f>HYPERLINK("http://www.stromypodkontrolou.cz/map/?draw_selection_circle=1#%7B%22lat%22%3A%2049.6657759714852%2C%20%22lng%22%3A%2018.6726406818739%2C%20%22zoom%22%3A%2020%7D")</f>
        <v>http://www.stromypodkontrolou.cz/map/?draw_selection_circle=1#%7B%22lat%22%3A%2049.6657759714852%2C%20%22lng%22%3A%2018.6726406818739%2C%20%22zoom%22%3A%2020%7D</v>
      </c>
    </row>
    <row r="130" spans="1:16" ht="48">
      <c r="A130" s="4" t="s">
        <v>589</v>
      </c>
      <c r="B130" s="9" t="s">
        <v>26</v>
      </c>
      <c r="C130" s="9">
        <v>213</v>
      </c>
      <c r="D130" s="9"/>
      <c r="E130" s="9" t="s">
        <v>13</v>
      </c>
      <c r="F130" s="9" t="s">
        <v>175</v>
      </c>
      <c r="G130" s="9">
        <v>27</v>
      </c>
      <c r="H130" s="9"/>
      <c r="I130" s="9"/>
      <c r="J130" s="9"/>
      <c r="K130" s="9">
        <v>16</v>
      </c>
      <c r="L130" s="9">
        <v>7</v>
      </c>
      <c r="M130" s="9" t="s">
        <v>169</v>
      </c>
      <c r="N130" s="9" t="s">
        <v>170</v>
      </c>
      <c r="O130" s="31"/>
      <c r="P130" s="9" t="str">
        <f>HYPERLINK("http://www.stromypodkontrolou.cz/map/?draw_selection_circle=1#%7B%22lat%22%3A%2049.6646778155%2C%20%22lng%22%3A%2018.6738312779%2C%20%22zoom%22%3A%2020%7D")</f>
        <v>http://www.stromypodkontrolou.cz/map/?draw_selection_circle=1#%7B%22lat%22%3A%2049.6646778155%2C%20%22lng%22%3A%2018.6738312779%2C%20%22zoom%22%3A%2020%7D</v>
      </c>
    </row>
    <row r="131" spans="1:16" ht="12.75">
      <c r="A131" s="5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 t="s">
        <v>171</v>
      </c>
      <c r="N131" s="9" t="s">
        <v>172</v>
      </c>
      <c r="O131" s="31"/>
      <c r="P131" s="9"/>
    </row>
    <row r="132" spans="1:16" s="16" customFormat="1" ht="48">
      <c r="A132" s="15" t="s">
        <v>590</v>
      </c>
      <c r="B132" s="10" t="s">
        <v>26</v>
      </c>
      <c r="C132" s="10">
        <v>214</v>
      </c>
      <c r="D132" s="10"/>
      <c r="E132" s="10" t="s">
        <v>28</v>
      </c>
      <c r="F132" s="10" t="s">
        <v>207</v>
      </c>
      <c r="G132" s="10">
        <v>12</v>
      </c>
      <c r="H132" s="10">
        <v>11</v>
      </c>
      <c r="I132" s="10">
        <v>5</v>
      </c>
      <c r="J132" s="10"/>
      <c r="K132" s="10">
        <v>4</v>
      </c>
      <c r="L132" s="10">
        <v>5</v>
      </c>
      <c r="M132" s="10" t="s">
        <v>169</v>
      </c>
      <c r="N132" s="10" t="s">
        <v>170</v>
      </c>
      <c r="O132" s="31"/>
      <c r="P132" s="10" t="str">
        <f>HYPERLINK("http://www.stromypodkontrolou.cz/map/?draw_selection_circle=1#%7B%22lat%22%3A%2049.6646641294%2C%20%22lng%22%3A%2018.673866125%2C%20%22zoom%22%3A%2020%7D")</f>
        <v>http://www.stromypodkontrolou.cz/map/?draw_selection_circle=1#%7B%22lat%22%3A%2049.6646641294%2C%20%22lng%22%3A%2018.673866125%2C%20%22zoom%22%3A%2020%7D</v>
      </c>
    </row>
    <row r="133" spans="1:16" s="16" customFormat="1" ht="12.75">
      <c r="A133" s="2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 t="s">
        <v>171</v>
      </c>
      <c r="N133" s="10" t="s">
        <v>172</v>
      </c>
      <c r="O133" s="31"/>
      <c r="P133" s="10"/>
    </row>
    <row r="134" spans="1:16" ht="48">
      <c r="A134" s="4" t="s">
        <v>591</v>
      </c>
      <c r="B134" s="9" t="s">
        <v>26</v>
      </c>
      <c r="C134" s="9">
        <v>287</v>
      </c>
      <c r="D134" s="9"/>
      <c r="E134" s="9" t="s">
        <v>72</v>
      </c>
      <c r="F134" s="9" t="s">
        <v>292</v>
      </c>
      <c r="G134" s="9">
        <v>36</v>
      </c>
      <c r="H134" s="9"/>
      <c r="I134" s="9"/>
      <c r="J134" s="9"/>
      <c r="K134" s="9">
        <v>12</v>
      </c>
      <c r="L134" s="9">
        <v>6</v>
      </c>
      <c r="M134" s="9" t="s">
        <v>169</v>
      </c>
      <c r="N134" s="9" t="s">
        <v>170</v>
      </c>
      <c r="O134" s="31"/>
      <c r="P134" s="9" t="str">
        <f>HYPERLINK("http://www.stromypodkontrolou.cz/map/?draw_selection_circle=1#%7B%22lat%22%3A%2049.6651969921372%2C%20%22lng%22%3A%2018.6740638464872%2C%20%22zoom%22%3A%2020%7D")</f>
        <v>http://www.stromypodkontrolou.cz/map/?draw_selection_circle=1#%7B%22lat%22%3A%2049.6651969921372%2C%20%22lng%22%3A%2018.6740638464872%2C%20%22zoom%22%3A%2020%7D</v>
      </c>
    </row>
    <row r="135" spans="1:16" ht="12.75">
      <c r="A135" s="5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 t="s">
        <v>171</v>
      </c>
      <c r="N135" s="9" t="s">
        <v>172</v>
      </c>
      <c r="O135" s="31"/>
      <c r="P135" s="9"/>
    </row>
    <row r="136" spans="1:16" s="16" customFormat="1" ht="48">
      <c r="A136" s="18" t="s">
        <v>592</v>
      </c>
      <c r="B136" s="10" t="s">
        <v>43</v>
      </c>
      <c r="C136" s="10">
        <v>180</v>
      </c>
      <c r="D136" s="10"/>
      <c r="E136" s="10" t="s">
        <v>45</v>
      </c>
      <c r="F136" s="10" t="s">
        <v>245</v>
      </c>
      <c r="G136" s="10">
        <v>5</v>
      </c>
      <c r="H136" s="10"/>
      <c r="I136" s="10"/>
      <c r="J136" s="10"/>
      <c r="K136" s="10">
        <v>4</v>
      </c>
      <c r="L136" s="10">
        <v>1</v>
      </c>
      <c r="M136" s="10" t="s">
        <v>169</v>
      </c>
      <c r="N136" s="10" t="s">
        <v>170</v>
      </c>
      <c r="O136" s="31"/>
      <c r="P136" s="10" t="str">
        <f>HYPERLINK("http://www.stromypodkontrolou.cz/map/?draw_selection_circle=1#%7B%22lat%22%3A%2049.6759660020219%2C%20%22lng%22%3A%2018.668533640637%2C%20%22zoom%22%3A%2020%7D")</f>
        <v>http://www.stromypodkontrolou.cz/map/?draw_selection_circle=1#%7B%22lat%22%3A%2049.6759660020219%2C%20%22lng%22%3A%2018.668533640637%2C%20%22zoom%22%3A%2020%7D</v>
      </c>
    </row>
    <row r="137" spans="1:16" ht="48">
      <c r="A137" s="4" t="s">
        <v>593</v>
      </c>
      <c r="B137" s="9" t="s">
        <v>38</v>
      </c>
      <c r="C137" s="9">
        <v>84</v>
      </c>
      <c r="D137" s="9"/>
      <c r="E137" s="9" t="s">
        <v>24</v>
      </c>
      <c r="F137" s="9" t="s">
        <v>200</v>
      </c>
      <c r="G137" s="9">
        <v>43</v>
      </c>
      <c r="H137" s="9"/>
      <c r="I137" s="9"/>
      <c r="J137" s="9"/>
      <c r="K137" s="9">
        <v>14</v>
      </c>
      <c r="L137" s="9">
        <v>9</v>
      </c>
      <c r="M137" s="9" t="s">
        <v>218</v>
      </c>
      <c r="N137" s="9" t="s">
        <v>219</v>
      </c>
      <c r="O137" s="31"/>
      <c r="P137" s="9" t="str">
        <f>HYPERLINK("http://www.stromypodkontrolou.cz/map/?draw_selection_circle=1#%7B%22lat%22%3A%2049.6621202628836%2C%20%22lng%22%3A%2018.678069907652%2C%20%22zoom%22%3A%2020%7D")</f>
        <v>http://www.stromypodkontrolou.cz/map/?draw_selection_circle=1#%7B%22lat%22%3A%2049.6621202628836%2C%20%22lng%22%3A%2018.678069907652%2C%20%22zoom%22%3A%2020%7D</v>
      </c>
    </row>
    <row r="138" spans="1:16" ht="12.75">
      <c r="A138" s="5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 t="s">
        <v>171</v>
      </c>
      <c r="N138" s="9" t="s">
        <v>172</v>
      </c>
      <c r="O138" s="31"/>
      <c r="P138" s="9"/>
    </row>
    <row r="139" spans="1:16" s="16" customFormat="1" ht="48">
      <c r="A139" s="15" t="s">
        <v>594</v>
      </c>
      <c r="B139" s="10" t="s">
        <v>73</v>
      </c>
      <c r="C139" s="10">
        <v>150</v>
      </c>
      <c r="D139" s="10"/>
      <c r="E139" s="10" t="s">
        <v>11</v>
      </c>
      <c r="F139" s="10" t="s">
        <v>173</v>
      </c>
      <c r="G139" s="10">
        <v>44</v>
      </c>
      <c r="H139" s="10"/>
      <c r="I139" s="10"/>
      <c r="J139" s="10"/>
      <c r="K139" s="10">
        <v>17</v>
      </c>
      <c r="L139" s="10">
        <v>9</v>
      </c>
      <c r="M139" s="10" t="s">
        <v>218</v>
      </c>
      <c r="N139" s="10" t="s">
        <v>219</v>
      </c>
      <c r="O139" s="31"/>
      <c r="P139" s="10" t="str">
        <f>HYPERLINK("http://www.stromypodkontrolou.cz/map/?draw_selection_circle=1#%7B%22lat%22%3A%2049.6630612898914%2C%20%22lng%22%3A%2018.6782923169975%2C%20%22zoom%22%3A%2020%7D")</f>
        <v>http://www.stromypodkontrolou.cz/map/?draw_selection_circle=1#%7B%22lat%22%3A%2049.6630612898914%2C%20%22lng%22%3A%2018.6782923169975%2C%20%22zoom%22%3A%2020%7D</v>
      </c>
    </row>
    <row r="140" spans="1:16" s="16" customFormat="1" ht="12.75">
      <c r="A140" s="2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 t="s">
        <v>171</v>
      </c>
      <c r="N140" s="10" t="s">
        <v>172</v>
      </c>
      <c r="O140" s="31"/>
      <c r="P140" s="10"/>
    </row>
    <row r="141" spans="1:16" ht="48">
      <c r="A141" s="4" t="s">
        <v>595</v>
      </c>
      <c r="B141" s="9" t="s">
        <v>74</v>
      </c>
      <c r="C141" s="9">
        <v>97</v>
      </c>
      <c r="D141" s="9"/>
      <c r="E141" s="9" t="s">
        <v>11</v>
      </c>
      <c r="F141" s="9" t="s">
        <v>173</v>
      </c>
      <c r="G141" s="9">
        <v>35</v>
      </c>
      <c r="H141" s="9">
        <v>34</v>
      </c>
      <c r="I141" s="9">
        <v>21</v>
      </c>
      <c r="J141" s="9"/>
      <c r="K141" s="9">
        <v>19</v>
      </c>
      <c r="L141" s="9">
        <v>9</v>
      </c>
      <c r="M141" s="9" t="s">
        <v>191</v>
      </c>
      <c r="N141" s="9" t="s">
        <v>192</v>
      </c>
      <c r="O141" s="31"/>
      <c r="P141" s="9" t="str">
        <f>HYPERLINK("http://www.stromypodkontrolou.cz/map/?draw_selection_circle=1#%7B%22lat%22%3A%2049.6782768486776%2C%20%22lng%22%3A%2018.6670023682137%2C%20%22zoom%22%3A%2020%7D")</f>
        <v>http://www.stromypodkontrolou.cz/map/?draw_selection_circle=1#%7B%22lat%22%3A%2049.6782768486776%2C%20%22lng%22%3A%2018.6670023682137%2C%20%22zoom%22%3A%2020%7D</v>
      </c>
    </row>
    <row r="142" spans="1:16" ht="12.75">
      <c r="A142" s="5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 t="s">
        <v>171</v>
      </c>
      <c r="N142" s="9" t="s">
        <v>172</v>
      </c>
      <c r="O142" s="31"/>
      <c r="P142" s="9"/>
    </row>
    <row r="143" spans="1:16" s="16" customFormat="1" ht="48">
      <c r="A143" s="18" t="s">
        <v>596</v>
      </c>
      <c r="B143" s="10" t="s">
        <v>75</v>
      </c>
      <c r="C143" s="10">
        <v>1</v>
      </c>
      <c r="D143" s="10"/>
      <c r="E143" s="10" t="s">
        <v>11</v>
      </c>
      <c r="F143" s="10" t="s">
        <v>173</v>
      </c>
      <c r="G143" s="10">
        <v>37</v>
      </c>
      <c r="H143" s="10"/>
      <c r="I143" s="10"/>
      <c r="J143" s="10"/>
      <c r="K143" s="10">
        <v>21</v>
      </c>
      <c r="L143" s="10">
        <v>8</v>
      </c>
      <c r="M143" s="10" t="s">
        <v>191</v>
      </c>
      <c r="N143" s="10" t="s">
        <v>192</v>
      </c>
      <c r="O143" s="31"/>
      <c r="P143" s="10" t="str">
        <f>HYPERLINK("http://www.stromypodkontrolou.cz/map/?draw_selection_circle=1#%7B%22lat%22%3A%2049.671932940084%2C%20%22lng%22%3A%2018.6731960012067%2C%20%22zoom%22%3A%2020%7D")</f>
        <v>http://www.stromypodkontrolou.cz/map/?draw_selection_circle=1#%7B%22lat%22%3A%2049.671932940084%2C%20%22lng%22%3A%2018.6731960012067%2C%20%22zoom%22%3A%2020%7D</v>
      </c>
    </row>
    <row r="144" spans="1:16" ht="48">
      <c r="A144" s="4" t="s">
        <v>597</v>
      </c>
      <c r="B144" s="9" t="s">
        <v>76</v>
      </c>
      <c r="C144" s="9">
        <v>8</v>
      </c>
      <c r="D144" s="9"/>
      <c r="E144" s="9" t="s">
        <v>77</v>
      </c>
      <c r="F144" s="9" t="s">
        <v>304</v>
      </c>
      <c r="G144" s="9">
        <v>18</v>
      </c>
      <c r="H144" s="9"/>
      <c r="I144" s="9"/>
      <c r="J144" s="9"/>
      <c r="K144" s="9">
        <v>8</v>
      </c>
      <c r="L144" s="9">
        <v>8</v>
      </c>
      <c r="M144" s="9" t="s">
        <v>169</v>
      </c>
      <c r="N144" s="9" t="s">
        <v>170</v>
      </c>
      <c r="O144" s="31"/>
      <c r="P144" s="9" t="str">
        <f>HYPERLINK("http://www.stromypodkontrolou.cz/map/?draw_selection_circle=1#%7B%22lat%22%3A%2049.6716136120666%2C%20%22lng%22%3A%2018.6753868267092%2C%20%22zoom%22%3A%2020%7D")</f>
        <v>http://www.stromypodkontrolou.cz/map/?draw_selection_circle=1#%7B%22lat%22%3A%2049.6716136120666%2C%20%22lng%22%3A%2018.6753868267092%2C%20%22zoom%22%3A%2020%7D</v>
      </c>
    </row>
    <row r="145" spans="1:16" ht="12.75">
      <c r="A145" s="5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 t="s">
        <v>171</v>
      </c>
      <c r="N145" s="9" t="s">
        <v>172</v>
      </c>
      <c r="O145" s="31"/>
      <c r="P145" s="9"/>
    </row>
    <row r="146" spans="1:16" s="16" customFormat="1" ht="48">
      <c r="A146" s="18" t="s">
        <v>598</v>
      </c>
      <c r="B146" s="10" t="s">
        <v>78</v>
      </c>
      <c r="C146" s="10">
        <v>48</v>
      </c>
      <c r="D146" s="10" t="s">
        <v>79</v>
      </c>
      <c r="E146" s="10" t="s">
        <v>11</v>
      </c>
      <c r="F146" s="10" t="s">
        <v>173</v>
      </c>
      <c r="G146" s="10">
        <v>82</v>
      </c>
      <c r="H146" s="10"/>
      <c r="I146" s="10"/>
      <c r="J146" s="10"/>
      <c r="K146" s="10">
        <v>22</v>
      </c>
      <c r="L146" s="10">
        <v>12</v>
      </c>
      <c r="M146" s="10" t="s">
        <v>169</v>
      </c>
      <c r="N146" s="10" t="s">
        <v>170</v>
      </c>
      <c r="O146" s="31"/>
      <c r="P146" s="10" t="str">
        <f>HYPERLINK("http://www.stromypodkontrolou.cz/map/?draw_selection_circle=1#%7B%22lat%22%3A%2049.6715601162282%2C%20%22lng%22%3A%2018.6734821278283%2C%20%22zoom%22%3A%2020%7D")</f>
        <v>http://www.stromypodkontrolou.cz/map/?draw_selection_circle=1#%7B%22lat%22%3A%2049.6715601162282%2C%20%22lng%22%3A%2018.6734821278283%2C%20%22zoom%22%3A%2020%7D</v>
      </c>
    </row>
    <row r="147" spans="1:16" ht="48">
      <c r="A147" s="19" t="s">
        <v>599</v>
      </c>
      <c r="B147" s="9" t="s">
        <v>78</v>
      </c>
      <c r="C147" s="9">
        <v>29</v>
      </c>
      <c r="D147" s="9" t="s">
        <v>80</v>
      </c>
      <c r="E147" s="9" t="s">
        <v>11</v>
      </c>
      <c r="F147" s="9" t="s">
        <v>173</v>
      </c>
      <c r="G147" s="9">
        <v>52</v>
      </c>
      <c r="H147" s="9"/>
      <c r="I147" s="9"/>
      <c r="J147" s="9"/>
      <c r="K147" s="9">
        <v>27</v>
      </c>
      <c r="L147" s="9">
        <v>10</v>
      </c>
      <c r="M147" s="9" t="s">
        <v>169</v>
      </c>
      <c r="N147" s="9" t="s">
        <v>170</v>
      </c>
      <c r="O147" s="31"/>
      <c r="P147" s="9" t="str">
        <f>HYPERLINK("http://www.stromypodkontrolou.cz/map/?draw_selection_circle=1#%7B%22lat%22%3A%2049.672052034141%2C%20%22lng%22%3A%2018.6727801497892%2C%20%22zoom%22%3A%2020%7D")</f>
        <v>http://www.stromypodkontrolou.cz/map/?draw_selection_circle=1#%7B%22lat%22%3A%2049.672052034141%2C%20%22lng%22%3A%2018.6727801497892%2C%20%22zoom%22%3A%2020%7D</v>
      </c>
    </row>
    <row r="148" spans="1:16" s="16" customFormat="1" ht="48">
      <c r="A148" s="15" t="s">
        <v>600</v>
      </c>
      <c r="B148" s="10" t="s">
        <v>81</v>
      </c>
      <c r="C148" s="10">
        <v>351</v>
      </c>
      <c r="D148" s="10"/>
      <c r="E148" s="10" t="s">
        <v>44</v>
      </c>
      <c r="F148" s="10" t="s">
        <v>242</v>
      </c>
      <c r="G148" s="10">
        <v>36</v>
      </c>
      <c r="H148" s="10">
        <v>29</v>
      </c>
      <c r="I148" s="10">
        <v>19</v>
      </c>
      <c r="J148" s="10"/>
      <c r="K148" s="10">
        <v>14</v>
      </c>
      <c r="L148" s="10">
        <v>8</v>
      </c>
      <c r="M148" s="10" t="s">
        <v>169</v>
      </c>
      <c r="N148" s="10" t="s">
        <v>170</v>
      </c>
      <c r="O148" s="31"/>
      <c r="P148" s="10" t="str">
        <f>HYPERLINK("http://www.stromypodkontrolou.cz/map/?draw_selection_circle=1#%7B%22lat%22%3A%2049.6673601298505%2C%20%22lng%22%3A%2018.6766464750138%2C%20%22zoom%22%3A%2020%7D")</f>
        <v>http://www.stromypodkontrolou.cz/map/?draw_selection_circle=1#%7B%22lat%22%3A%2049.6673601298505%2C%20%22lng%22%3A%2018.6766464750138%2C%20%22zoom%22%3A%2020%7D</v>
      </c>
    </row>
    <row r="149" spans="1:16" s="16" customFormat="1" ht="12.75">
      <c r="A149" s="2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 t="s">
        <v>171</v>
      </c>
      <c r="N149" s="10" t="s">
        <v>172</v>
      </c>
      <c r="O149" s="31"/>
      <c r="P149" s="10"/>
    </row>
    <row r="150" spans="1:16" ht="48">
      <c r="A150" s="4" t="s">
        <v>601</v>
      </c>
      <c r="B150" s="9" t="s">
        <v>82</v>
      </c>
      <c r="C150" s="9">
        <v>13</v>
      </c>
      <c r="D150" s="9"/>
      <c r="E150" s="9" t="s">
        <v>13</v>
      </c>
      <c r="F150" s="9" t="s">
        <v>175</v>
      </c>
      <c r="G150" s="9">
        <v>45</v>
      </c>
      <c r="H150" s="9"/>
      <c r="I150" s="9"/>
      <c r="J150" s="9"/>
      <c r="K150" s="9">
        <v>21</v>
      </c>
      <c r="L150" s="9">
        <v>8</v>
      </c>
      <c r="M150" s="9" t="s">
        <v>218</v>
      </c>
      <c r="N150" s="9" t="s">
        <v>219</v>
      </c>
      <c r="O150" s="31"/>
      <c r="P150" s="9" t="str">
        <f>HYPERLINK("http://www.stromypodkontrolou.cz/map/?draw_selection_circle=1#%7B%22lat%22%3A%2049.6682805378823%2C%20%22lng%22%3A%2018.677433592492%2C%20%22zoom%22%3A%2020%7D")</f>
        <v>http://www.stromypodkontrolou.cz/map/?draw_selection_circle=1#%7B%22lat%22%3A%2049.6682805378823%2C%20%22lng%22%3A%2018.677433592492%2C%20%22zoom%22%3A%2020%7D</v>
      </c>
    </row>
    <row r="151" spans="1:16" ht="12.75">
      <c r="A151" s="5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 t="s">
        <v>171</v>
      </c>
      <c r="N151" s="9" t="s">
        <v>172</v>
      </c>
      <c r="O151" s="31"/>
      <c r="P151" s="9"/>
    </row>
    <row r="152" spans="1:16" s="16" customFormat="1" ht="48">
      <c r="A152" s="18" t="s">
        <v>602</v>
      </c>
      <c r="B152" s="10" t="s">
        <v>33</v>
      </c>
      <c r="C152" s="10">
        <v>25</v>
      </c>
      <c r="D152" s="10"/>
      <c r="E152" s="10" t="s">
        <v>67</v>
      </c>
      <c r="F152" s="10" t="s">
        <v>284</v>
      </c>
      <c r="G152" s="10">
        <v>8</v>
      </c>
      <c r="H152" s="10"/>
      <c r="I152" s="10"/>
      <c r="J152" s="10"/>
      <c r="K152" s="10">
        <v>6</v>
      </c>
      <c r="L152" s="10">
        <v>1</v>
      </c>
      <c r="M152" s="10" t="s">
        <v>169</v>
      </c>
      <c r="N152" s="10" t="s">
        <v>170</v>
      </c>
      <c r="O152" s="31"/>
      <c r="P152" s="10" t="str">
        <f>HYPERLINK("http://www.stromypodkontrolou.cz/map/?draw_selection_circle=1#%7B%22lat%22%3A%2049.6613244948632%2C%20%22lng%22%3A%2018.6762589978198%2C%20%22zoom%22%3A%2020%7D")</f>
        <v>http://www.stromypodkontrolou.cz/map/?draw_selection_circle=1#%7B%22lat%22%3A%2049.6613244948632%2C%20%22lng%22%3A%2018.6762589978198%2C%20%22zoom%22%3A%2020%7D</v>
      </c>
    </row>
    <row r="153" spans="1:16" ht="48">
      <c r="A153" s="19" t="s">
        <v>603</v>
      </c>
      <c r="B153" s="9" t="s">
        <v>25</v>
      </c>
      <c r="C153" s="9">
        <v>181</v>
      </c>
      <c r="D153" s="9"/>
      <c r="E153" s="9" t="s">
        <v>14</v>
      </c>
      <c r="F153" s="9" t="s">
        <v>180</v>
      </c>
      <c r="G153" s="9">
        <v>6</v>
      </c>
      <c r="H153" s="9"/>
      <c r="I153" s="9"/>
      <c r="J153" s="9"/>
      <c r="K153" s="9">
        <v>7</v>
      </c>
      <c r="L153" s="9">
        <v>1</v>
      </c>
      <c r="M153" s="9" t="s">
        <v>169</v>
      </c>
      <c r="N153" s="9" t="s">
        <v>170</v>
      </c>
      <c r="O153" s="31"/>
      <c r="P153" s="9" t="str">
        <f>HYPERLINK("http://www.stromypodkontrolou.cz/map/?draw_selection_circle=1#%7B%22lat%22%3A%2049.6628873175196%2C%20%22lng%22%3A%2018.671821249377%2C%20%22zoom%22%3A%2020%7D")</f>
        <v>http://www.stromypodkontrolou.cz/map/?draw_selection_circle=1#%7B%22lat%22%3A%2049.6628873175196%2C%20%22lng%22%3A%2018.671821249377%2C%20%22zoom%22%3A%2020%7D</v>
      </c>
    </row>
    <row r="154" spans="1:16" s="16" customFormat="1" ht="48">
      <c r="A154" s="18" t="s">
        <v>604</v>
      </c>
      <c r="B154" s="10" t="s">
        <v>56</v>
      </c>
      <c r="C154" s="10">
        <v>238</v>
      </c>
      <c r="D154" s="10"/>
      <c r="E154" s="10" t="s">
        <v>83</v>
      </c>
      <c r="F154" s="10" t="s">
        <v>313</v>
      </c>
      <c r="G154" s="10">
        <v>5</v>
      </c>
      <c r="H154" s="10"/>
      <c r="I154" s="10"/>
      <c r="J154" s="10"/>
      <c r="K154" s="10">
        <v>4</v>
      </c>
      <c r="L154" s="10">
        <v>2</v>
      </c>
      <c r="M154" s="10" t="s">
        <v>169</v>
      </c>
      <c r="N154" s="10" t="s">
        <v>170</v>
      </c>
      <c r="O154" s="31"/>
      <c r="P154" s="10" t="str">
        <f>HYPERLINK("http://www.stromypodkontrolou.cz/map/?draw_selection_circle=1#%7B%22lat%22%3A%2049.6727326543704%2C%20%22lng%22%3A%2018.670406486463%2C%20%22zoom%22%3A%2020%7D")</f>
        <v>http://www.stromypodkontrolou.cz/map/?draw_selection_circle=1#%7B%22lat%22%3A%2049.6727326543704%2C%20%22lng%22%3A%2018.670406486463%2C%20%22zoom%22%3A%2020%7D</v>
      </c>
    </row>
    <row r="155" spans="1:16" ht="48">
      <c r="A155" s="19" t="s">
        <v>605</v>
      </c>
      <c r="B155" s="9" t="s">
        <v>84</v>
      </c>
      <c r="C155" s="9">
        <v>168</v>
      </c>
      <c r="D155" s="9"/>
      <c r="E155" s="9" t="s">
        <v>31</v>
      </c>
      <c r="F155" s="9" t="s">
        <v>213</v>
      </c>
      <c r="G155" s="9">
        <v>8</v>
      </c>
      <c r="H155" s="9"/>
      <c r="I155" s="9"/>
      <c r="J155" s="9"/>
      <c r="K155" s="9">
        <v>5</v>
      </c>
      <c r="L155" s="9">
        <v>3</v>
      </c>
      <c r="M155" s="9" t="s">
        <v>169</v>
      </c>
      <c r="N155" s="9" t="s">
        <v>170</v>
      </c>
      <c r="O155" s="31"/>
      <c r="P155" s="9" t="str">
        <f>HYPERLINK("http://www.stromypodkontrolou.cz/map/?draw_selection_circle=1#%7B%22lat%22%3A%2049.6721013030054%2C%20%22lng%22%3A%2018.6721210799937%2C%20%22zoom%22%3A%2020%7D")</f>
        <v>http://www.stromypodkontrolou.cz/map/?draw_selection_circle=1#%7B%22lat%22%3A%2049.6721013030054%2C%20%22lng%22%3A%2018.6721210799937%2C%20%22zoom%22%3A%2020%7D</v>
      </c>
    </row>
    <row r="156" spans="1:16" s="16" customFormat="1" ht="48">
      <c r="A156" s="15" t="s">
        <v>607</v>
      </c>
      <c r="B156" s="10" t="s">
        <v>16</v>
      </c>
      <c r="C156" s="10">
        <v>123</v>
      </c>
      <c r="D156" s="10"/>
      <c r="E156" s="10" t="s">
        <v>17</v>
      </c>
      <c r="F156" s="10" t="s">
        <v>185</v>
      </c>
      <c r="G156" s="10">
        <v>19</v>
      </c>
      <c r="H156" s="10"/>
      <c r="I156" s="10"/>
      <c r="J156" s="10"/>
      <c r="K156" s="10">
        <v>3</v>
      </c>
      <c r="L156" s="10">
        <v>8</v>
      </c>
      <c r="M156" s="10" t="s">
        <v>169</v>
      </c>
      <c r="N156" s="10" t="s">
        <v>170</v>
      </c>
      <c r="O156" s="31"/>
      <c r="P156" s="10" t="str">
        <f>HYPERLINK("http://www.stromypodkontrolou.cz/map/?draw_selection_circle=1#%7B%22lat%22%3A%2049.6712822841799%2C%20%22lng%22%3A%2018.6694974409746%2C%20%22zoom%22%3A%2020%7D")</f>
        <v>http://www.stromypodkontrolou.cz/map/?draw_selection_circle=1#%7B%22lat%22%3A%2049.6712822841799%2C%20%22lng%22%3A%2018.6694974409746%2C%20%22zoom%22%3A%2020%7D</v>
      </c>
    </row>
    <row r="157" spans="1:16" s="16" customFormat="1" ht="12.75">
      <c r="A157" s="2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 t="s">
        <v>171</v>
      </c>
      <c r="N157" s="10" t="s">
        <v>172</v>
      </c>
      <c r="O157" s="31"/>
      <c r="P157" s="10"/>
    </row>
    <row r="158" spans="1:16" ht="48">
      <c r="A158" s="19" t="s">
        <v>606</v>
      </c>
      <c r="B158" s="9" t="s">
        <v>85</v>
      </c>
      <c r="C158" s="9">
        <v>10</v>
      </c>
      <c r="D158" s="9"/>
      <c r="E158" s="9" t="s">
        <v>14</v>
      </c>
      <c r="F158" s="9" t="s">
        <v>180</v>
      </c>
      <c r="G158" s="9">
        <v>13</v>
      </c>
      <c r="H158" s="9">
        <v>13</v>
      </c>
      <c r="I158" s="9">
        <v>10</v>
      </c>
      <c r="J158" s="9">
        <v>6</v>
      </c>
      <c r="K158" s="9">
        <v>9</v>
      </c>
      <c r="L158" s="9">
        <v>7</v>
      </c>
      <c r="M158" s="9" t="s">
        <v>169</v>
      </c>
      <c r="N158" s="9" t="s">
        <v>170</v>
      </c>
      <c r="O158" s="31"/>
      <c r="P158" s="9" t="str">
        <f>HYPERLINK("http://www.stromypodkontrolou.cz/map/?draw_selection_circle=1#%7B%22lat%22%3A%2049.6709015522%2C%20%22lng%22%3A%2018.6694122325%2C%20%22zoom%22%3A%2020%7D")</f>
        <v>http://www.stromypodkontrolou.cz/map/?draw_selection_circle=1#%7B%22lat%22%3A%2049.6709015522%2C%20%22lng%22%3A%2018.6694122325%2C%20%22zoom%22%3A%2020%7D</v>
      </c>
    </row>
    <row r="159" spans="1:16" s="16" customFormat="1" ht="48">
      <c r="A159" s="15" t="s">
        <v>608</v>
      </c>
      <c r="B159" s="10" t="s">
        <v>63</v>
      </c>
      <c r="C159" s="10">
        <v>264</v>
      </c>
      <c r="D159" s="10"/>
      <c r="E159" s="10" t="s">
        <v>21</v>
      </c>
      <c r="F159" s="10" t="s">
        <v>197</v>
      </c>
      <c r="G159" s="10">
        <v>17</v>
      </c>
      <c r="H159" s="10"/>
      <c r="I159" s="10"/>
      <c r="J159" s="10"/>
      <c r="K159" s="10">
        <v>16</v>
      </c>
      <c r="L159" s="10">
        <v>4</v>
      </c>
      <c r="M159" s="10" t="s">
        <v>191</v>
      </c>
      <c r="N159" s="10" t="s">
        <v>192</v>
      </c>
      <c r="O159" s="31"/>
      <c r="P159" s="10" t="str">
        <f>HYPERLINK("http://www.stromypodkontrolou.cz/map/?draw_selection_circle=1#%7B%22lat%22%3A%2049.6716791454874%2C%20%22lng%22%3A%2018.6794473015922%2C%20%22zoom%22%3A%2020%7D")</f>
        <v>http://www.stromypodkontrolou.cz/map/?draw_selection_circle=1#%7B%22lat%22%3A%2049.6716791454874%2C%20%22lng%22%3A%2018.6794473015922%2C%20%22zoom%22%3A%2020%7D</v>
      </c>
    </row>
    <row r="160" spans="1:16" s="16" customFormat="1" ht="12.75">
      <c r="A160" s="2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 t="s">
        <v>171</v>
      </c>
      <c r="N160" s="10" t="s">
        <v>172</v>
      </c>
      <c r="O160" s="31"/>
      <c r="P160" s="10"/>
    </row>
    <row r="161" spans="1:16" ht="48">
      <c r="A161" s="4" t="s">
        <v>609</v>
      </c>
      <c r="B161" s="9" t="s">
        <v>63</v>
      </c>
      <c r="C161" s="9">
        <v>113</v>
      </c>
      <c r="D161" s="9"/>
      <c r="E161" s="9" t="s">
        <v>21</v>
      </c>
      <c r="F161" s="9" t="s">
        <v>197</v>
      </c>
      <c r="G161" s="9">
        <v>20</v>
      </c>
      <c r="H161" s="9"/>
      <c r="I161" s="9"/>
      <c r="J161" s="9"/>
      <c r="K161" s="9">
        <v>15</v>
      </c>
      <c r="L161" s="9">
        <v>4</v>
      </c>
      <c r="M161" s="9" t="s">
        <v>171</v>
      </c>
      <c r="N161" s="9" t="s">
        <v>172</v>
      </c>
      <c r="O161" s="31"/>
      <c r="P161" s="9" t="str">
        <f>HYPERLINK("http://www.stromypodkontrolou.cz/map/?draw_selection_circle=1#%7B%22lat%22%3A%2049.6715472439013%2C%20%22lng%22%3A%2018.6795916788958%2C%20%22zoom%22%3A%2020%7D")</f>
        <v>http://www.stromypodkontrolou.cz/map/?draw_selection_circle=1#%7B%22lat%22%3A%2049.6715472439013%2C%20%22lng%22%3A%2018.6795916788958%2C%20%22zoom%22%3A%2020%7D</v>
      </c>
    </row>
    <row r="162" spans="1:16" ht="12.75">
      <c r="A162" s="5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 t="s">
        <v>169</v>
      </c>
      <c r="N162" s="9" t="s">
        <v>170</v>
      </c>
      <c r="O162" s="31"/>
      <c r="P162" s="9"/>
    </row>
    <row r="163" spans="1:16" s="16" customFormat="1" ht="48">
      <c r="A163" s="18" t="s">
        <v>610</v>
      </c>
      <c r="B163" s="10" t="s">
        <v>78</v>
      </c>
      <c r="C163" s="10">
        <v>19</v>
      </c>
      <c r="D163" s="10" t="s">
        <v>86</v>
      </c>
      <c r="E163" s="10" t="s">
        <v>87</v>
      </c>
      <c r="F163" s="10" t="s">
        <v>320</v>
      </c>
      <c r="G163" s="10">
        <v>19</v>
      </c>
      <c r="H163" s="10"/>
      <c r="I163" s="10"/>
      <c r="J163" s="10"/>
      <c r="K163" s="10">
        <v>9</v>
      </c>
      <c r="L163" s="10">
        <v>5</v>
      </c>
      <c r="M163" s="10" t="s">
        <v>169</v>
      </c>
      <c r="N163" s="10" t="s">
        <v>170</v>
      </c>
      <c r="O163" s="31"/>
      <c r="P163" s="10" t="str">
        <f>HYPERLINK("http://www.stromypodkontrolou.cz/map/?draw_selection_circle=1#%7B%22lat%22%3A%2049.6723090968553%2C%20%22lng%22%3A%2018.6724791065184%2C%20%22zoom%22%3A%2020%7D")</f>
        <v>http://www.stromypodkontrolou.cz/map/?draw_selection_circle=1#%7B%22lat%22%3A%2049.6723090968553%2C%20%22lng%22%3A%2018.6724791065184%2C%20%22zoom%22%3A%2020%7D</v>
      </c>
    </row>
    <row r="164" spans="1:16" ht="48">
      <c r="A164" s="19" t="s">
        <v>611</v>
      </c>
      <c r="B164" s="9" t="s">
        <v>75</v>
      </c>
      <c r="C164" s="9">
        <v>64</v>
      </c>
      <c r="D164" s="9"/>
      <c r="E164" s="9" t="s">
        <v>11</v>
      </c>
      <c r="F164" s="9" t="s">
        <v>173</v>
      </c>
      <c r="G164" s="9">
        <v>15</v>
      </c>
      <c r="H164" s="9">
        <v>14</v>
      </c>
      <c r="I164" s="9">
        <v>12</v>
      </c>
      <c r="J164" s="9">
        <v>10</v>
      </c>
      <c r="K164" s="9">
        <v>12</v>
      </c>
      <c r="L164" s="9">
        <v>5</v>
      </c>
      <c r="M164" s="9" t="s">
        <v>169</v>
      </c>
      <c r="N164" s="9" t="s">
        <v>170</v>
      </c>
      <c r="O164" s="31"/>
      <c r="P164" s="9" t="str">
        <f>HYPERLINK("http://www.stromypodkontrolou.cz/map/?draw_selection_circle=1#%7B%22lat%22%3A%2049.6723794622623%2C%20%22lng%22%3A%2018.6725276122688%2C%20%22zoom%22%3A%2020%7D")</f>
        <v>http://www.stromypodkontrolou.cz/map/?draw_selection_circle=1#%7B%22lat%22%3A%2049.6723794622623%2C%20%22lng%22%3A%2018.6725276122688%2C%20%22zoom%22%3A%2020%7D</v>
      </c>
    </row>
    <row r="165" spans="1:16" s="16" customFormat="1" ht="48">
      <c r="A165" s="18" t="s">
        <v>612</v>
      </c>
      <c r="B165" s="10" t="s">
        <v>78</v>
      </c>
      <c r="C165" s="10">
        <v>7</v>
      </c>
      <c r="D165" s="10" t="s">
        <v>88</v>
      </c>
      <c r="E165" s="10" t="s">
        <v>11</v>
      </c>
      <c r="F165" s="10" t="s">
        <v>173</v>
      </c>
      <c r="G165" s="10">
        <v>30</v>
      </c>
      <c r="H165" s="10"/>
      <c r="I165" s="10"/>
      <c r="J165" s="10"/>
      <c r="K165" s="10">
        <v>20</v>
      </c>
      <c r="L165" s="10">
        <v>6</v>
      </c>
      <c r="M165" s="10" t="s">
        <v>169</v>
      </c>
      <c r="N165" s="10" t="s">
        <v>170</v>
      </c>
      <c r="O165" s="31"/>
      <c r="P165" s="10" t="str">
        <f>HYPERLINK("http://www.stromypodkontrolou.cz/map/?draw_selection_circle=1#%7B%22lat%22%3A%2049.6724341162258%2C%20%22lng%22%3A%2018.6722371278244%2C%20%22zoom%22%3A%2020%7D")</f>
        <v>http://www.stromypodkontrolou.cz/map/?draw_selection_circle=1#%7B%22lat%22%3A%2049.6724341162258%2C%20%22lng%22%3A%2018.6722371278244%2C%20%22zoom%22%3A%2020%7D</v>
      </c>
    </row>
    <row r="166" spans="1:16" ht="48">
      <c r="A166" s="19" t="s">
        <v>613</v>
      </c>
      <c r="B166" s="9" t="s">
        <v>78</v>
      </c>
      <c r="C166" s="9">
        <v>16</v>
      </c>
      <c r="D166" s="9" t="s">
        <v>89</v>
      </c>
      <c r="E166" s="9" t="s">
        <v>15</v>
      </c>
      <c r="F166" s="9" t="s">
        <v>183</v>
      </c>
      <c r="G166" s="9">
        <v>13</v>
      </c>
      <c r="H166" s="9"/>
      <c r="I166" s="9"/>
      <c r="J166" s="9"/>
      <c r="K166" s="9">
        <v>10</v>
      </c>
      <c r="L166" s="9">
        <v>5</v>
      </c>
      <c r="M166" s="9" t="s">
        <v>169</v>
      </c>
      <c r="N166" s="9" t="s">
        <v>170</v>
      </c>
      <c r="O166" s="31"/>
      <c r="P166" s="9" t="str">
        <f>HYPERLINK("http://www.stromypodkontrolou.cz/map/?draw_selection_circle=1#%7B%22lat%22%3A%2049.6722420774881%2C%20%22lng%22%3A%2018.6723880852102%2C%20%22zoom%22%3A%2020%7D")</f>
        <v>http://www.stromypodkontrolou.cz/map/?draw_selection_circle=1#%7B%22lat%22%3A%2049.6722420774881%2C%20%22lng%22%3A%2018.6723880852102%2C%20%22zoom%22%3A%2020%7D</v>
      </c>
    </row>
    <row r="167" spans="1:16" s="16" customFormat="1" ht="48">
      <c r="A167" s="18" t="s">
        <v>614</v>
      </c>
      <c r="B167" s="10" t="s">
        <v>78</v>
      </c>
      <c r="C167" s="10">
        <v>54</v>
      </c>
      <c r="D167" s="10" t="s">
        <v>90</v>
      </c>
      <c r="E167" s="10" t="s">
        <v>91</v>
      </c>
      <c r="F167" s="10" t="s">
        <v>323</v>
      </c>
      <c r="G167" s="10">
        <v>10</v>
      </c>
      <c r="H167" s="10"/>
      <c r="I167" s="10"/>
      <c r="J167" s="10"/>
      <c r="K167" s="10">
        <v>6</v>
      </c>
      <c r="L167" s="10">
        <v>3</v>
      </c>
      <c r="M167" s="10" t="s">
        <v>218</v>
      </c>
      <c r="N167" s="10" t="s">
        <v>219</v>
      </c>
      <c r="O167" s="31"/>
      <c r="P167" s="10" t="str">
        <f>HYPERLINK("http://www.stromypodkontrolou.cz/map/?draw_selection_circle=1#%7B%22lat%22%3A%2049.6716940774809%2C%20%22lng%22%3A%2018.6730790852069%2C%20%22zoom%22%3A%2020%7D")</f>
        <v>http://www.stromypodkontrolou.cz/map/?draw_selection_circle=1#%7B%22lat%22%3A%2049.6716940774809%2C%20%22lng%22%3A%2018.6730790852069%2C%20%22zoom%22%3A%2020%7D</v>
      </c>
    </row>
    <row r="168" spans="1:16" ht="48">
      <c r="A168" s="4" t="s">
        <v>615</v>
      </c>
      <c r="B168" s="9" t="s">
        <v>84</v>
      </c>
      <c r="C168" s="9">
        <v>151</v>
      </c>
      <c r="D168" s="9"/>
      <c r="E168" s="9" t="s">
        <v>70</v>
      </c>
      <c r="F168" s="9" t="s">
        <v>285</v>
      </c>
      <c r="G168" s="9">
        <v>18</v>
      </c>
      <c r="H168" s="9"/>
      <c r="I168" s="9"/>
      <c r="J168" s="9"/>
      <c r="K168" s="9">
        <v>13</v>
      </c>
      <c r="L168" s="9">
        <v>4</v>
      </c>
      <c r="M168" s="9" t="s">
        <v>169</v>
      </c>
      <c r="N168" s="9" t="s">
        <v>170</v>
      </c>
      <c r="O168" s="31"/>
      <c r="P168" s="9" t="str">
        <f>HYPERLINK("http://www.stromypodkontrolou.cz/map/?draw_selection_circle=1#%7B%22lat%22%3A%2049.6719513176%2C%20%22lng%22%3A%2018.6720676454%2C%20%22zoom%22%3A%2020%7D")</f>
        <v>http://www.stromypodkontrolou.cz/map/?draw_selection_circle=1#%7B%22lat%22%3A%2049.6719513176%2C%20%22lng%22%3A%2018.6720676454%2C%20%22zoom%22%3A%2020%7D</v>
      </c>
    </row>
    <row r="169" spans="1:16" ht="12.75">
      <c r="A169" s="5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 t="s">
        <v>171</v>
      </c>
      <c r="N169" s="9" t="s">
        <v>172</v>
      </c>
      <c r="O169" s="31"/>
      <c r="P169" s="9"/>
    </row>
    <row r="170" spans="1:16" s="16" customFormat="1" ht="48">
      <c r="A170" s="15" t="s">
        <v>616</v>
      </c>
      <c r="B170" s="10" t="s">
        <v>84</v>
      </c>
      <c r="C170" s="10">
        <v>157</v>
      </c>
      <c r="D170" s="10"/>
      <c r="E170" s="10" t="s">
        <v>27</v>
      </c>
      <c r="F170" s="10" t="s">
        <v>204</v>
      </c>
      <c r="G170" s="10">
        <v>19</v>
      </c>
      <c r="H170" s="10"/>
      <c r="I170" s="10"/>
      <c r="J170" s="10"/>
      <c r="K170" s="10">
        <v>8</v>
      </c>
      <c r="L170" s="10">
        <v>4</v>
      </c>
      <c r="M170" s="10" t="s">
        <v>169</v>
      </c>
      <c r="N170" s="10" t="s">
        <v>170</v>
      </c>
      <c r="O170" s="31"/>
      <c r="P170" s="10" t="str">
        <f>HYPERLINK("http://www.stromypodkontrolou.cz/map/?draw_selection_circle=1#%7B%22lat%22%3A%2049.6717623564952%2C%20%22lng%22%3A%2018.6723902757619%2C%20%22zoom%22%3A%2020%7D")</f>
        <v>http://www.stromypodkontrolou.cz/map/?draw_selection_circle=1#%7B%22lat%22%3A%2049.6717623564952%2C%20%22lng%22%3A%2018.6723902757619%2C%20%22zoom%22%3A%2020%7D</v>
      </c>
    </row>
    <row r="171" spans="1:16" s="16" customFormat="1" ht="12.75">
      <c r="A171" s="2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 t="s">
        <v>171</v>
      </c>
      <c r="N171" s="10" t="s">
        <v>172</v>
      </c>
      <c r="O171" s="31"/>
      <c r="P171" s="10"/>
    </row>
    <row r="172" spans="1:16" ht="48">
      <c r="A172" s="4" t="s">
        <v>617</v>
      </c>
      <c r="B172" s="9" t="s">
        <v>81</v>
      </c>
      <c r="C172" s="9">
        <v>478</v>
      </c>
      <c r="D172" s="9"/>
      <c r="E172" s="9" t="s">
        <v>30</v>
      </c>
      <c r="F172" s="9" t="s">
        <v>211</v>
      </c>
      <c r="G172" s="9">
        <v>21</v>
      </c>
      <c r="H172" s="9"/>
      <c r="I172" s="9"/>
      <c r="J172" s="9"/>
      <c r="K172" s="9">
        <v>12</v>
      </c>
      <c r="L172" s="9">
        <v>3</v>
      </c>
      <c r="M172" s="9" t="s">
        <v>169</v>
      </c>
      <c r="N172" s="9" t="s">
        <v>170</v>
      </c>
      <c r="O172" s="31"/>
      <c r="P172" s="9" t="str">
        <f>HYPERLINK("http://www.stromypodkontrolou.cz/map/?draw_selection_circle=1#%7B%22lat%22%3A%2049.6701451472%2C%20%22lng%22%3A%2018.6740271647%2C%20%22zoom%22%3A%2020%7D")</f>
        <v>http://www.stromypodkontrolou.cz/map/?draw_selection_circle=1#%7B%22lat%22%3A%2049.6701451472%2C%20%22lng%22%3A%2018.6740271647%2C%20%22zoom%22%3A%2020%7D</v>
      </c>
    </row>
    <row r="173" spans="1:16" ht="12.75">
      <c r="A173" s="5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 t="s">
        <v>171</v>
      </c>
      <c r="N173" s="9" t="s">
        <v>172</v>
      </c>
      <c r="O173" s="31"/>
      <c r="P173" s="9"/>
    </row>
    <row r="174" spans="1:16" s="16" customFormat="1" ht="48">
      <c r="A174" s="15" t="s">
        <v>618</v>
      </c>
      <c r="B174" s="10" t="s">
        <v>81</v>
      </c>
      <c r="C174" s="10">
        <v>480</v>
      </c>
      <c r="D174" s="10"/>
      <c r="E174" s="10" t="s">
        <v>30</v>
      </c>
      <c r="F174" s="10" t="s">
        <v>211</v>
      </c>
      <c r="G174" s="10">
        <v>19</v>
      </c>
      <c r="H174" s="10"/>
      <c r="I174" s="10"/>
      <c r="J174" s="10"/>
      <c r="K174" s="10">
        <v>7</v>
      </c>
      <c r="L174" s="10">
        <v>4</v>
      </c>
      <c r="M174" s="10" t="s">
        <v>169</v>
      </c>
      <c r="N174" s="10" t="s">
        <v>170</v>
      </c>
      <c r="O174" s="31"/>
      <c r="P174" s="10" t="str">
        <f>HYPERLINK("http://www.stromypodkontrolou.cz/map/?draw_selection_circle=1#%7B%22lat%22%3A%2049.6701226003876%2C%20%22lng%22%3A%2018.6739839789403%2C%20%22zoom%22%3A%2020%7D")</f>
        <v>http://www.stromypodkontrolou.cz/map/?draw_selection_circle=1#%7B%22lat%22%3A%2049.6701226003876%2C%20%22lng%22%3A%2018.6739839789403%2C%20%22zoom%22%3A%2020%7D</v>
      </c>
    </row>
    <row r="175" spans="1:16" s="16" customFormat="1" ht="12.75">
      <c r="A175" s="2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 t="s">
        <v>171</v>
      </c>
      <c r="N175" s="10" t="s">
        <v>172</v>
      </c>
      <c r="O175" s="31"/>
      <c r="P175" s="10"/>
    </row>
    <row r="176" spans="1:16" ht="48">
      <c r="A176" s="4" t="s">
        <v>619</v>
      </c>
      <c r="B176" s="9" t="s">
        <v>84</v>
      </c>
      <c r="C176" s="9">
        <v>4</v>
      </c>
      <c r="D176" s="9"/>
      <c r="E176" s="9" t="s">
        <v>92</v>
      </c>
      <c r="F176" s="9" t="s">
        <v>329</v>
      </c>
      <c r="G176" s="9">
        <v>3</v>
      </c>
      <c r="H176" s="9"/>
      <c r="I176" s="9"/>
      <c r="J176" s="9"/>
      <c r="K176" s="9">
        <v>5</v>
      </c>
      <c r="L176" s="9">
        <v>1</v>
      </c>
      <c r="M176" s="9" t="s">
        <v>169</v>
      </c>
      <c r="N176" s="9" t="s">
        <v>170</v>
      </c>
      <c r="O176" s="31"/>
      <c r="P176" s="9" t="str">
        <f>HYPERLINK("http://www.stromypodkontrolou.cz/map/?draw_selection_circle=1#%7B%22lat%22%3A%2049.6704348946%2C%20%22lng%22%3A%2018.6755684619%2C%20%22zoom%22%3A%2020%7D")</f>
        <v>http://www.stromypodkontrolou.cz/map/?draw_selection_circle=1#%7B%22lat%22%3A%2049.6704348946%2C%20%22lng%22%3A%2018.6755684619%2C%20%22zoom%22%3A%2020%7D</v>
      </c>
    </row>
    <row r="177" spans="1:16" ht="12.75">
      <c r="A177" s="5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 t="s">
        <v>171</v>
      </c>
      <c r="N177" s="9" t="s">
        <v>172</v>
      </c>
      <c r="O177" s="31"/>
      <c r="P177" s="9"/>
    </row>
    <row r="178" spans="1:16" s="16" customFormat="1" ht="48">
      <c r="A178" s="15" t="s">
        <v>620</v>
      </c>
      <c r="B178" s="10" t="s">
        <v>81</v>
      </c>
      <c r="C178" s="10">
        <v>446</v>
      </c>
      <c r="D178" s="10"/>
      <c r="E178" s="10" t="s">
        <v>93</v>
      </c>
      <c r="F178" s="10" t="s">
        <v>330</v>
      </c>
      <c r="G178" s="10">
        <v>2</v>
      </c>
      <c r="H178" s="10"/>
      <c r="I178" s="10"/>
      <c r="J178" s="10"/>
      <c r="K178" s="10">
        <v>2</v>
      </c>
      <c r="L178" s="10">
        <v>2</v>
      </c>
      <c r="M178" s="10" t="s">
        <v>169</v>
      </c>
      <c r="N178" s="10" t="s">
        <v>170</v>
      </c>
      <c r="O178" s="31"/>
      <c r="P178" s="10" t="str">
        <f>HYPERLINK("http://www.stromypodkontrolou.cz/map/?draw_selection_circle=1#%7B%22lat%22%3A%2049.6696113127%2C%20%22lng%22%3A%2018.673001232%2C%20%22zoom%22%3A%2020%7D")</f>
        <v>http://www.stromypodkontrolou.cz/map/?draw_selection_circle=1#%7B%22lat%22%3A%2049.6696113127%2C%20%22lng%22%3A%2018.673001232%2C%20%22zoom%22%3A%2020%7D</v>
      </c>
    </row>
    <row r="179" spans="1:16" s="16" customFormat="1" ht="12.75">
      <c r="A179" s="2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 t="s">
        <v>171</v>
      </c>
      <c r="N179" s="10" t="s">
        <v>172</v>
      </c>
      <c r="O179" s="31"/>
      <c r="P179" s="10"/>
    </row>
    <row r="180" spans="1:16" ht="48">
      <c r="A180" s="4" t="s">
        <v>621</v>
      </c>
      <c r="B180" s="9" t="s">
        <v>81</v>
      </c>
      <c r="C180" s="9">
        <v>539</v>
      </c>
      <c r="D180" s="9"/>
      <c r="E180" s="9" t="s">
        <v>94</v>
      </c>
      <c r="F180" s="9" t="s">
        <v>332</v>
      </c>
      <c r="G180" s="9">
        <v>13</v>
      </c>
      <c r="H180" s="9">
        <v>12</v>
      </c>
      <c r="I180" s="9">
        <v>12</v>
      </c>
      <c r="J180" s="9"/>
      <c r="K180" s="9">
        <v>9</v>
      </c>
      <c r="L180" s="9">
        <v>5</v>
      </c>
      <c r="M180" s="9" t="s">
        <v>191</v>
      </c>
      <c r="N180" s="9" t="s">
        <v>192</v>
      </c>
      <c r="O180" s="31"/>
      <c r="P180" s="9" t="str">
        <f>HYPERLINK("http://www.stromypodkontrolou.cz/map/?draw_selection_circle=1#%7B%22lat%22%3A%2049.669439304303%2C%20%22lng%22%3A%2018.6740876947255%2C%20%22zoom%22%3A%2020%7D")</f>
        <v>http://www.stromypodkontrolou.cz/map/?draw_selection_circle=1#%7B%22lat%22%3A%2049.669439304303%2C%20%22lng%22%3A%2018.6740876947255%2C%20%22zoom%22%3A%2020%7D</v>
      </c>
    </row>
    <row r="181" spans="1:16" ht="12.75">
      <c r="A181" s="5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 t="s">
        <v>171</v>
      </c>
      <c r="N181" s="9" t="s">
        <v>172</v>
      </c>
      <c r="O181" s="31"/>
      <c r="P181" s="9"/>
    </row>
    <row r="182" spans="1:16" s="16" customFormat="1" ht="48">
      <c r="A182" s="15" t="s">
        <v>622</v>
      </c>
      <c r="B182" s="10" t="s">
        <v>81</v>
      </c>
      <c r="C182" s="10">
        <v>28</v>
      </c>
      <c r="D182" s="10"/>
      <c r="E182" s="10" t="s">
        <v>21</v>
      </c>
      <c r="F182" s="10" t="s">
        <v>197</v>
      </c>
      <c r="G182" s="10">
        <v>18</v>
      </c>
      <c r="H182" s="10"/>
      <c r="I182" s="10"/>
      <c r="J182" s="10"/>
      <c r="K182" s="10">
        <v>18</v>
      </c>
      <c r="L182" s="10">
        <v>4</v>
      </c>
      <c r="M182" s="10" t="s">
        <v>171</v>
      </c>
      <c r="N182" s="10" t="s">
        <v>172</v>
      </c>
      <c r="O182" s="31"/>
      <c r="P182" s="10" t="str">
        <f>HYPERLINK("http://www.stromypodkontrolou.cz/map/?draw_selection_circle=1#%7B%22lat%22%3A%2049.6679596107912%2C%20%22lng%22%3A%2018.6735566061679%2C%20%22zoom%22%3A%2020%7D")</f>
        <v>http://www.stromypodkontrolou.cz/map/?draw_selection_circle=1#%7B%22lat%22%3A%2049.6679596107912%2C%20%22lng%22%3A%2018.6735566061679%2C%20%22zoom%22%3A%2020%7D</v>
      </c>
    </row>
    <row r="183" spans="1:16" s="16" customFormat="1" ht="12.75">
      <c r="A183" s="2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 t="s">
        <v>218</v>
      </c>
      <c r="N183" s="10" t="s">
        <v>219</v>
      </c>
      <c r="O183" s="31"/>
      <c r="P183" s="10"/>
    </row>
    <row r="184" spans="1:16" ht="48">
      <c r="A184" s="19" t="s">
        <v>623</v>
      </c>
      <c r="B184" s="9" t="s">
        <v>68</v>
      </c>
      <c r="C184" s="9">
        <v>109</v>
      </c>
      <c r="D184" s="9" t="s">
        <v>95</v>
      </c>
      <c r="E184" s="9" t="s">
        <v>23</v>
      </c>
      <c r="F184" s="9" t="s">
        <v>198</v>
      </c>
      <c r="G184" s="9">
        <v>43</v>
      </c>
      <c r="H184" s="9"/>
      <c r="I184" s="9"/>
      <c r="J184" s="9"/>
      <c r="K184" s="9">
        <v>25</v>
      </c>
      <c r="L184" s="9">
        <v>7</v>
      </c>
      <c r="M184" s="9" t="s">
        <v>218</v>
      </c>
      <c r="N184" s="9" t="s">
        <v>219</v>
      </c>
      <c r="O184" s="31"/>
      <c r="P184" s="9" t="str">
        <f>HYPERLINK("http://www.stromypodkontrolou.cz/map/?draw_selection_circle=1#%7B%22lat%22%3A%2049.6675098144808%2C%20%22lng%22%3A%2018.6797733286492%2C%20%22zoom%22%3A%2020%7D")</f>
        <v>http://www.stromypodkontrolou.cz/map/?draw_selection_circle=1#%7B%22lat%22%3A%2049.6675098144808%2C%20%22lng%22%3A%2018.6797733286492%2C%20%22zoom%22%3A%2020%7D</v>
      </c>
    </row>
    <row r="185" spans="1:16" s="16" customFormat="1" ht="48">
      <c r="A185" s="18" t="s">
        <v>624</v>
      </c>
      <c r="B185" s="10" t="s">
        <v>68</v>
      </c>
      <c r="C185" s="10">
        <v>108</v>
      </c>
      <c r="D185" s="10" t="s">
        <v>96</v>
      </c>
      <c r="E185" s="10" t="s">
        <v>23</v>
      </c>
      <c r="F185" s="10" t="s">
        <v>198</v>
      </c>
      <c r="G185" s="10">
        <v>49</v>
      </c>
      <c r="H185" s="10"/>
      <c r="I185" s="10"/>
      <c r="J185" s="10"/>
      <c r="K185" s="10">
        <v>27</v>
      </c>
      <c r="L185" s="10">
        <v>6</v>
      </c>
      <c r="M185" s="10" t="s">
        <v>218</v>
      </c>
      <c r="N185" s="10" t="s">
        <v>219</v>
      </c>
      <c r="O185" s="31"/>
      <c r="P185" s="10" t="str">
        <f>HYPERLINK("http://www.stromypodkontrolou.cz/map/?draw_selection_circle=1#%7B%22lat%22%3A%2049.6675362882538%2C%20%22lng%22%3A%2018.6797941157682%2C%20%22zoom%22%3A%2020%7D")</f>
        <v>http://www.stromypodkontrolou.cz/map/?draw_selection_circle=1#%7B%22lat%22%3A%2049.6675362882538%2C%20%22lng%22%3A%2018.6797941157682%2C%20%22zoom%22%3A%2020%7D</v>
      </c>
    </row>
    <row r="186" spans="1:16" ht="48">
      <c r="A186" s="19" t="s">
        <v>625</v>
      </c>
      <c r="B186" s="9" t="s">
        <v>68</v>
      </c>
      <c r="C186" s="9">
        <v>98</v>
      </c>
      <c r="D186" s="9" t="s">
        <v>97</v>
      </c>
      <c r="E186" s="9" t="s">
        <v>23</v>
      </c>
      <c r="F186" s="9" t="s">
        <v>198</v>
      </c>
      <c r="G186" s="9">
        <v>32</v>
      </c>
      <c r="H186" s="9"/>
      <c r="I186" s="9"/>
      <c r="J186" s="9"/>
      <c r="K186" s="9">
        <v>24</v>
      </c>
      <c r="L186" s="9">
        <v>6</v>
      </c>
      <c r="M186" s="9" t="s">
        <v>218</v>
      </c>
      <c r="N186" s="9" t="s">
        <v>219</v>
      </c>
      <c r="O186" s="31"/>
      <c r="P186" s="9" t="str">
        <f>HYPERLINK("http://www.stromypodkontrolou.cz/map/?draw_selection_circle=1#%7B%22lat%22%3A%2049.6675857637729%2C%20%22lng%22%3A%2018.6799785176415%2C%20%22zoom%22%3A%2020%7D")</f>
        <v>http://www.stromypodkontrolou.cz/map/?draw_selection_circle=1#%7B%22lat%22%3A%2049.6675857637729%2C%20%22lng%22%3A%2018.6799785176415%2C%20%22zoom%22%3A%2020%7D</v>
      </c>
    </row>
    <row r="187" spans="1:16" s="16" customFormat="1" ht="48">
      <c r="A187" s="18" t="s">
        <v>626</v>
      </c>
      <c r="B187" s="10" t="s">
        <v>68</v>
      </c>
      <c r="C187" s="10">
        <v>121</v>
      </c>
      <c r="D187" s="10" t="s">
        <v>98</v>
      </c>
      <c r="E187" s="10" t="s">
        <v>23</v>
      </c>
      <c r="F187" s="10" t="s">
        <v>198</v>
      </c>
      <c r="G187" s="10">
        <v>41</v>
      </c>
      <c r="H187" s="10"/>
      <c r="I187" s="10"/>
      <c r="J187" s="10"/>
      <c r="K187" s="10">
        <v>28</v>
      </c>
      <c r="L187" s="10">
        <v>8</v>
      </c>
      <c r="M187" s="10" t="s">
        <v>218</v>
      </c>
      <c r="N187" s="10" t="s">
        <v>219</v>
      </c>
      <c r="O187" s="31"/>
      <c r="P187" s="10" t="str">
        <f>HYPERLINK("http://www.stromypodkontrolou.cz/map/?draw_selection_circle=1#%7B%22lat%22%3A%2049.6674714058019%2C%20%22lng%22%3A%2018.6799473369572%2C%20%22zoom%22%3A%2020%7D")</f>
        <v>http://www.stromypodkontrolou.cz/map/?draw_selection_circle=1#%7B%22lat%22%3A%2049.6674714058019%2C%20%22lng%22%3A%2018.6799473369572%2C%20%22zoom%22%3A%2020%7D</v>
      </c>
    </row>
    <row r="188" spans="1:16" ht="48">
      <c r="A188" s="19" t="s">
        <v>627</v>
      </c>
      <c r="B188" s="9" t="s">
        <v>68</v>
      </c>
      <c r="C188" s="9">
        <v>119</v>
      </c>
      <c r="D188" s="9" t="s">
        <v>99</v>
      </c>
      <c r="E188" s="9" t="s">
        <v>23</v>
      </c>
      <c r="F188" s="9" t="s">
        <v>198</v>
      </c>
      <c r="G188" s="9">
        <v>23</v>
      </c>
      <c r="H188" s="9"/>
      <c r="I188" s="9"/>
      <c r="J188" s="9"/>
      <c r="K188" s="9">
        <v>15</v>
      </c>
      <c r="L188" s="9">
        <v>6</v>
      </c>
      <c r="M188" s="9" t="s">
        <v>169</v>
      </c>
      <c r="N188" s="9" t="s">
        <v>170</v>
      </c>
      <c r="O188" s="31"/>
      <c r="P188" s="9" t="str">
        <f>HYPERLINK("http://www.stromypodkontrolou.cz/map/?draw_selection_circle=1#%7B%22lat%22%3A%2049.6674813877169%2C%20%22lng%22%3A%2018.6799962872763%2C%20%22zoom%22%3A%2020%7D")</f>
        <v>http://www.stromypodkontrolou.cz/map/?draw_selection_circle=1#%7B%22lat%22%3A%2049.6674813877169%2C%20%22lng%22%3A%2018.6799962872763%2C%20%22zoom%22%3A%2020%7D</v>
      </c>
    </row>
    <row r="189" spans="1:16" s="16" customFormat="1" ht="48">
      <c r="A189" s="18" t="s">
        <v>628</v>
      </c>
      <c r="B189" s="10" t="s">
        <v>68</v>
      </c>
      <c r="C189" s="10">
        <v>118</v>
      </c>
      <c r="D189" s="10" t="s">
        <v>100</v>
      </c>
      <c r="E189" s="10" t="s">
        <v>23</v>
      </c>
      <c r="F189" s="10" t="s">
        <v>198</v>
      </c>
      <c r="G189" s="10">
        <v>42</v>
      </c>
      <c r="H189" s="10"/>
      <c r="I189" s="10"/>
      <c r="J189" s="10"/>
      <c r="K189" s="10">
        <v>27</v>
      </c>
      <c r="L189" s="10">
        <v>7</v>
      </c>
      <c r="M189" s="10" t="s">
        <v>218</v>
      </c>
      <c r="N189" s="10" t="s">
        <v>219</v>
      </c>
      <c r="O189" s="31"/>
      <c r="P189" s="10" t="str">
        <f>HYPERLINK("http://www.stromypodkontrolou.cz/map/?draw_selection_circle=1#%7B%22lat%22%3A%2049.6674959265976%2C%20%22lng%22%3A%2018.679976170704%2C%20%22zoom%22%3A%2020%7D")</f>
        <v>http://www.stromypodkontrolou.cz/map/?draw_selection_circle=1#%7B%22lat%22%3A%2049.6674959265976%2C%20%22lng%22%3A%2018.679976170704%2C%20%22zoom%22%3A%2020%7D</v>
      </c>
    </row>
    <row r="190" spans="1:16" ht="48">
      <c r="A190" s="4" t="s">
        <v>629</v>
      </c>
      <c r="B190" s="9" t="s">
        <v>101</v>
      </c>
      <c r="C190" s="9">
        <v>111</v>
      </c>
      <c r="D190" s="9"/>
      <c r="E190" s="9" t="s">
        <v>72</v>
      </c>
      <c r="F190" s="9" t="s">
        <v>292</v>
      </c>
      <c r="G190" s="9">
        <v>5</v>
      </c>
      <c r="H190" s="9"/>
      <c r="I190" s="9"/>
      <c r="J190" s="9"/>
      <c r="K190" s="9">
        <v>1</v>
      </c>
      <c r="L190" s="9">
        <v>1</v>
      </c>
      <c r="M190" s="9" t="s">
        <v>171</v>
      </c>
      <c r="N190" s="9" t="s">
        <v>172</v>
      </c>
      <c r="O190" s="31"/>
      <c r="P190" s="9" t="str">
        <f>HYPERLINK("http://www.stromypodkontrolou.cz/map/?draw_selection_circle=1#%7B%22lat%22%3A%2049.6660246187%2C%20%22lng%22%3A%2018.6776867441%2C%20%22zoom%22%3A%2020%7D")</f>
        <v>http://www.stromypodkontrolou.cz/map/?draw_selection_circle=1#%7B%22lat%22%3A%2049.6660246187%2C%20%22lng%22%3A%2018.6776867441%2C%20%22zoom%22%3A%2020%7D</v>
      </c>
    </row>
    <row r="191" spans="1:16" ht="12.75">
      <c r="A191" s="5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 t="s">
        <v>169</v>
      </c>
      <c r="N191" s="9" t="s">
        <v>170</v>
      </c>
      <c r="O191" s="31"/>
      <c r="P191" s="9"/>
    </row>
    <row r="192" spans="1:16" s="16" customFormat="1" ht="48">
      <c r="A192" s="15" t="s">
        <v>630</v>
      </c>
      <c r="B192" s="10" t="s">
        <v>102</v>
      </c>
      <c r="C192" s="10">
        <v>31</v>
      </c>
      <c r="D192" s="10"/>
      <c r="E192" s="10" t="s">
        <v>21</v>
      </c>
      <c r="F192" s="10" t="s">
        <v>197</v>
      </c>
      <c r="G192" s="10">
        <v>22</v>
      </c>
      <c r="H192" s="10"/>
      <c r="I192" s="10"/>
      <c r="J192" s="10"/>
      <c r="K192" s="10">
        <v>15</v>
      </c>
      <c r="L192" s="10">
        <v>7</v>
      </c>
      <c r="M192" s="10" t="s">
        <v>191</v>
      </c>
      <c r="N192" s="10" t="s">
        <v>192</v>
      </c>
      <c r="O192" s="31"/>
      <c r="P192" s="10" t="str">
        <f>HYPERLINK("http://www.stromypodkontrolou.cz/map/?draw_selection_circle=1#%7B%22lat%22%3A%2049.6637139945825%2C%20%22lng%22%3A%2018.6798230123278%2C%20%22zoom%22%3A%2020%7D")</f>
        <v>http://www.stromypodkontrolou.cz/map/?draw_selection_circle=1#%7B%22lat%22%3A%2049.6637139945825%2C%20%22lng%22%3A%2018.6798230123278%2C%20%22zoom%22%3A%2020%7D</v>
      </c>
    </row>
    <row r="193" spans="1:16" s="16" customFormat="1" ht="12.75">
      <c r="A193" s="2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 t="s">
        <v>171</v>
      </c>
      <c r="N193" s="10" t="s">
        <v>172</v>
      </c>
      <c r="O193" s="31"/>
      <c r="P193" s="10"/>
    </row>
    <row r="194" spans="1:16" ht="48">
      <c r="A194" s="4" t="s">
        <v>631</v>
      </c>
      <c r="B194" s="9" t="s">
        <v>103</v>
      </c>
      <c r="C194" s="9">
        <v>9</v>
      </c>
      <c r="D194" s="9"/>
      <c r="E194" s="9" t="s">
        <v>104</v>
      </c>
      <c r="F194" s="9" t="s">
        <v>344</v>
      </c>
      <c r="G194" s="9">
        <v>9</v>
      </c>
      <c r="H194" s="9">
        <v>8</v>
      </c>
      <c r="I194" s="9">
        <v>7</v>
      </c>
      <c r="J194" s="9"/>
      <c r="K194" s="9">
        <v>5</v>
      </c>
      <c r="L194" s="9">
        <v>4</v>
      </c>
      <c r="M194" s="9" t="s">
        <v>169</v>
      </c>
      <c r="N194" s="9" t="s">
        <v>170</v>
      </c>
      <c r="O194" s="31"/>
      <c r="P194" s="9" t="str">
        <f>HYPERLINK("http://www.stromypodkontrolou.cz/map/?draw_selection_circle=1#%7B%22lat%22%3A%2049.6719348683319%2C%20%22lng%22%3A%2018.6430617609454%2C%20%22zoom%22%3A%2020%7D")</f>
        <v>http://www.stromypodkontrolou.cz/map/?draw_selection_circle=1#%7B%22lat%22%3A%2049.6719348683319%2C%20%22lng%22%3A%2018.6430617609454%2C%20%22zoom%22%3A%2020%7D</v>
      </c>
    </row>
    <row r="195" spans="1:16" ht="12.75">
      <c r="A195" s="5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 t="s">
        <v>171</v>
      </c>
      <c r="N195" s="9" t="s">
        <v>172</v>
      </c>
      <c r="O195" s="31"/>
      <c r="P195" s="9"/>
    </row>
    <row r="196" spans="1:16" s="16" customFormat="1" ht="48">
      <c r="A196" s="15" t="s">
        <v>632</v>
      </c>
      <c r="B196" s="10" t="s">
        <v>103</v>
      </c>
      <c r="C196" s="10">
        <v>20</v>
      </c>
      <c r="D196" s="10"/>
      <c r="E196" s="10" t="s">
        <v>105</v>
      </c>
      <c r="F196" s="10" t="s">
        <v>346</v>
      </c>
      <c r="G196" s="10">
        <v>7</v>
      </c>
      <c r="H196" s="10">
        <v>6</v>
      </c>
      <c r="I196" s="10">
        <v>6</v>
      </c>
      <c r="J196" s="10">
        <v>6</v>
      </c>
      <c r="K196" s="10">
        <v>5</v>
      </c>
      <c r="L196" s="10">
        <v>5</v>
      </c>
      <c r="M196" s="10" t="s">
        <v>169</v>
      </c>
      <c r="N196" s="10" t="s">
        <v>170</v>
      </c>
      <c r="O196" s="31"/>
      <c r="P196" s="10" t="str">
        <f>HYPERLINK("http://www.stromypodkontrolou.cz/map/?draw_selection_circle=1#%7B%22lat%22%3A%2049.6723199908739%2C%20%22lng%22%3A%2018.6427985159339%2C%20%22zoom%22%3A%2020%7D")</f>
        <v>http://www.stromypodkontrolou.cz/map/?draw_selection_circle=1#%7B%22lat%22%3A%2049.6723199908739%2C%20%22lng%22%3A%2018.6427985159339%2C%20%22zoom%22%3A%2020%7D</v>
      </c>
    </row>
    <row r="197" spans="1:16" s="16" customFormat="1" ht="12.75">
      <c r="A197" s="2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 t="s">
        <v>171</v>
      </c>
      <c r="N197" s="10" t="s">
        <v>172</v>
      </c>
      <c r="O197" s="31"/>
      <c r="P197" s="10"/>
    </row>
    <row r="198" spans="1:16" ht="48">
      <c r="A198" s="4" t="s">
        <v>633</v>
      </c>
      <c r="B198" s="9" t="s">
        <v>12</v>
      </c>
      <c r="C198" s="9">
        <v>520</v>
      </c>
      <c r="D198" s="9"/>
      <c r="E198" s="9" t="s">
        <v>106</v>
      </c>
      <c r="F198" s="9" t="s">
        <v>347</v>
      </c>
      <c r="G198" s="9">
        <v>3</v>
      </c>
      <c r="H198" s="9">
        <v>2</v>
      </c>
      <c r="I198" s="9"/>
      <c r="J198" s="9"/>
      <c r="K198" s="9">
        <v>3</v>
      </c>
      <c r="L198" s="9">
        <v>1</v>
      </c>
      <c r="M198" s="9" t="s">
        <v>169</v>
      </c>
      <c r="N198" s="9" t="s">
        <v>170</v>
      </c>
      <c r="O198" s="31"/>
      <c r="P198" s="9" t="str">
        <f>HYPERLINK("http://www.stromypodkontrolou.cz/map/?draw_selection_circle=1#%7B%22lat%22%3A%2049.6777792247616%2C%20%22lng%22%3A%2018.6862816826221%2C%20%22zoom%22%3A%2020%7D")</f>
        <v>http://www.stromypodkontrolou.cz/map/?draw_selection_circle=1#%7B%22lat%22%3A%2049.6777792247616%2C%20%22lng%22%3A%2018.6862816826221%2C%20%22zoom%22%3A%2020%7D</v>
      </c>
    </row>
    <row r="199" spans="1:16" ht="12.75">
      <c r="A199" s="5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 t="s">
        <v>171</v>
      </c>
      <c r="N199" s="9" t="s">
        <v>172</v>
      </c>
      <c r="O199" s="31"/>
      <c r="P199" s="9"/>
    </row>
    <row r="200" spans="1:16" s="16" customFormat="1" ht="48">
      <c r="A200" s="15" t="s">
        <v>634</v>
      </c>
      <c r="B200" s="10" t="s">
        <v>107</v>
      </c>
      <c r="C200" s="10">
        <v>18</v>
      </c>
      <c r="D200" s="10"/>
      <c r="E200" s="10" t="s">
        <v>41</v>
      </c>
      <c r="F200" s="10" t="s">
        <v>238</v>
      </c>
      <c r="G200" s="10">
        <v>15</v>
      </c>
      <c r="H200" s="10">
        <v>14</v>
      </c>
      <c r="I200" s="10"/>
      <c r="J200" s="10"/>
      <c r="K200" s="10">
        <v>9</v>
      </c>
      <c r="L200" s="10">
        <v>5</v>
      </c>
      <c r="M200" s="10" t="s">
        <v>171</v>
      </c>
      <c r="N200" s="10" t="s">
        <v>172</v>
      </c>
      <c r="O200" s="31"/>
      <c r="P200" s="10" t="str">
        <f>HYPERLINK("http://www.stromypodkontrolou.cz/map/?draw_selection_circle=1#%7B%22lat%22%3A%2049.6603740650147%2C%20%22lng%22%3A%2018.6720733380971%2C%20%22zoom%22%3A%2020%7D")</f>
        <v>http://www.stromypodkontrolou.cz/map/?draw_selection_circle=1#%7B%22lat%22%3A%2049.6603740650147%2C%20%22lng%22%3A%2018.6720733380971%2C%20%22zoom%22%3A%2020%7D</v>
      </c>
    </row>
    <row r="201" spans="1:16" s="16" customFormat="1" ht="12.75">
      <c r="A201" s="2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 t="s">
        <v>169</v>
      </c>
      <c r="N201" s="10" t="s">
        <v>170</v>
      </c>
      <c r="O201" s="31"/>
      <c r="P201" s="10"/>
    </row>
    <row r="202" spans="1:16" ht="48">
      <c r="A202" s="4" t="s">
        <v>635</v>
      </c>
      <c r="B202" s="9" t="s">
        <v>37</v>
      </c>
      <c r="C202" s="9">
        <v>61</v>
      </c>
      <c r="D202" s="9"/>
      <c r="E202" s="9" t="s">
        <v>44</v>
      </c>
      <c r="F202" s="9" t="s">
        <v>242</v>
      </c>
      <c r="G202" s="9">
        <v>17</v>
      </c>
      <c r="H202" s="9"/>
      <c r="I202" s="9"/>
      <c r="J202" s="9"/>
      <c r="K202" s="9">
        <v>9</v>
      </c>
      <c r="L202" s="9">
        <v>4</v>
      </c>
      <c r="M202" s="9" t="s">
        <v>169</v>
      </c>
      <c r="N202" s="9" t="s">
        <v>170</v>
      </c>
      <c r="O202" s="31"/>
      <c r="P202" s="9" t="str">
        <f>HYPERLINK("http://www.stromypodkontrolou.cz/map/?draw_selection_circle=1#%7B%22lat%22%3A%2049.6714688463802%2C%20%22lng%22%3A%2018.6790572587843%2C%20%22zoom%22%3A%2020%7D")</f>
        <v>http://www.stromypodkontrolou.cz/map/?draw_selection_circle=1#%7B%22lat%22%3A%2049.6714688463802%2C%20%22lng%22%3A%2018.6790572587843%2C%20%22zoom%22%3A%2020%7D</v>
      </c>
    </row>
    <row r="203" spans="1:16" ht="12.75">
      <c r="A203" s="5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 t="s">
        <v>171</v>
      </c>
      <c r="N203" s="9" t="s">
        <v>172</v>
      </c>
      <c r="O203" s="31"/>
      <c r="P203" s="9"/>
    </row>
    <row r="204" spans="1:16" s="16" customFormat="1" ht="48">
      <c r="A204" s="15" t="s">
        <v>636</v>
      </c>
      <c r="B204" s="10" t="s">
        <v>37</v>
      </c>
      <c r="C204" s="10">
        <v>88</v>
      </c>
      <c r="D204" s="10"/>
      <c r="E204" s="10" t="s">
        <v>94</v>
      </c>
      <c r="F204" s="10" t="s">
        <v>332</v>
      </c>
      <c r="G204" s="10">
        <v>9</v>
      </c>
      <c r="H204" s="10"/>
      <c r="I204" s="10"/>
      <c r="J204" s="10"/>
      <c r="K204" s="10">
        <v>6</v>
      </c>
      <c r="L204" s="10">
        <v>4</v>
      </c>
      <c r="M204" s="10" t="s">
        <v>169</v>
      </c>
      <c r="N204" s="10" t="s">
        <v>170</v>
      </c>
      <c r="O204" s="31"/>
      <c r="P204" s="10" t="str">
        <f>HYPERLINK("http://www.stromypodkontrolou.cz/map/?draw_selection_circle=1#%7B%22lat%22%3A%2049.671421463287%2C%20%22lng%22%3A%2018.6790481050313%2C%20%22zoom%22%3A%2020%7D")</f>
        <v>http://www.stromypodkontrolou.cz/map/?draw_selection_circle=1#%7B%22lat%22%3A%2049.671421463287%2C%20%22lng%22%3A%2018.6790481050313%2C%20%22zoom%22%3A%2020%7D</v>
      </c>
    </row>
    <row r="205" spans="1:16" s="16" customFormat="1" ht="12.75">
      <c r="A205" s="2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 t="s">
        <v>171</v>
      </c>
      <c r="N205" s="10" t="s">
        <v>172</v>
      </c>
      <c r="O205" s="31"/>
      <c r="P205" s="10"/>
    </row>
    <row r="206" spans="1:16" ht="48">
      <c r="A206" s="4" t="s">
        <v>637</v>
      </c>
      <c r="B206" s="9" t="s">
        <v>37</v>
      </c>
      <c r="C206" s="9">
        <v>89</v>
      </c>
      <c r="D206" s="9"/>
      <c r="E206" s="9" t="s">
        <v>94</v>
      </c>
      <c r="F206" s="9" t="s">
        <v>332</v>
      </c>
      <c r="G206" s="9">
        <v>8</v>
      </c>
      <c r="H206" s="9">
        <v>8</v>
      </c>
      <c r="I206" s="9">
        <v>8</v>
      </c>
      <c r="J206" s="9">
        <v>6</v>
      </c>
      <c r="K206" s="9">
        <v>5</v>
      </c>
      <c r="L206" s="9">
        <v>4</v>
      </c>
      <c r="M206" s="9" t="s">
        <v>169</v>
      </c>
      <c r="N206" s="9" t="s">
        <v>170</v>
      </c>
      <c r="O206" s="31"/>
      <c r="P206" s="9" t="str">
        <f>HYPERLINK("http://www.stromypodkontrolou.cz/map/?draw_selection_circle=1#%7B%22lat%22%3A%2049.6713908883735%2C%20%22lng%22%3A%2018.6789468729457%2C%20%22zoom%22%3A%2020%7D")</f>
        <v>http://www.stromypodkontrolou.cz/map/?draw_selection_circle=1#%7B%22lat%22%3A%2049.6713908883735%2C%20%22lng%22%3A%2018.6789468729457%2C%20%22zoom%22%3A%2020%7D</v>
      </c>
    </row>
    <row r="207" spans="1:16" ht="12.75">
      <c r="A207" s="5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 t="s">
        <v>171</v>
      </c>
      <c r="N207" s="9" t="s">
        <v>172</v>
      </c>
      <c r="O207" s="31"/>
      <c r="P207" s="9"/>
    </row>
    <row r="208" spans="1:16" s="16" customFormat="1" ht="48">
      <c r="A208" s="15" t="s">
        <v>638</v>
      </c>
      <c r="B208" s="10" t="s">
        <v>82</v>
      </c>
      <c r="C208" s="10">
        <v>84</v>
      </c>
      <c r="D208" s="10"/>
      <c r="E208" s="10" t="s">
        <v>108</v>
      </c>
      <c r="F208" s="10" t="s">
        <v>351</v>
      </c>
      <c r="G208" s="10">
        <v>15</v>
      </c>
      <c r="H208" s="10">
        <v>13</v>
      </c>
      <c r="I208" s="10"/>
      <c r="J208" s="10"/>
      <c r="K208" s="10">
        <v>13</v>
      </c>
      <c r="L208" s="10">
        <v>8</v>
      </c>
      <c r="M208" s="10" t="s">
        <v>218</v>
      </c>
      <c r="N208" s="10" t="s">
        <v>219</v>
      </c>
      <c r="O208" s="31"/>
      <c r="P208" s="10" t="str">
        <f>HYPERLINK("http://www.stromypodkontrolou.cz/map/?draw_selection_circle=1#%7B%22lat%22%3A%2049.6687903166808%2C%20%22lng%22%3A%2018.6776150367716%2C%20%22zoom%22%3A%2020%7D")</f>
        <v>http://www.stromypodkontrolou.cz/map/?draw_selection_circle=1#%7B%22lat%22%3A%2049.6687903166808%2C%20%22lng%22%3A%2018.6776150367716%2C%20%22zoom%22%3A%2020%7D</v>
      </c>
    </row>
    <row r="209" spans="1:16" s="16" customFormat="1" ht="12.75">
      <c r="A209" s="2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 t="s">
        <v>171</v>
      </c>
      <c r="N209" s="10" t="s">
        <v>172</v>
      </c>
      <c r="O209" s="31"/>
      <c r="P209" s="10"/>
    </row>
    <row r="210" spans="1:16" ht="48">
      <c r="A210" s="4" t="s">
        <v>639</v>
      </c>
      <c r="B210" s="9" t="s">
        <v>109</v>
      </c>
      <c r="C210" s="9">
        <v>32</v>
      </c>
      <c r="D210" s="9"/>
      <c r="E210" s="9" t="s">
        <v>44</v>
      </c>
      <c r="F210" s="9" t="s">
        <v>242</v>
      </c>
      <c r="G210" s="9">
        <v>10</v>
      </c>
      <c r="H210" s="9">
        <v>9</v>
      </c>
      <c r="I210" s="9">
        <v>8</v>
      </c>
      <c r="J210" s="9">
        <v>8</v>
      </c>
      <c r="K210" s="9">
        <v>7</v>
      </c>
      <c r="L210" s="9">
        <v>6</v>
      </c>
      <c r="M210" s="9" t="s">
        <v>169</v>
      </c>
      <c r="N210" s="9" t="s">
        <v>170</v>
      </c>
      <c r="O210" s="31"/>
      <c r="P210" s="9" t="str">
        <f>HYPERLINK("http://www.stromypodkontrolou.cz/map/?draw_selection_circle=1#%7B%22lat%22%3A%2049.6802452661%2C%20%22lng%22%3A%2018.6690181049%2C%20%22zoom%22%3A%2020%7D")</f>
        <v>http://www.stromypodkontrolou.cz/map/?draw_selection_circle=1#%7B%22lat%22%3A%2049.6802452661%2C%20%22lng%22%3A%2018.6690181049%2C%20%22zoom%22%3A%2020%7D</v>
      </c>
    </row>
    <row r="211" spans="1:16" ht="12.75">
      <c r="A211" s="5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 t="s">
        <v>171</v>
      </c>
      <c r="N211" s="9" t="s">
        <v>172</v>
      </c>
      <c r="O211" s="31"/>
      <c r="P211" s="9"/>
    </row>
    <row r="212" spans="1:16" s="16" customFormat="1" ht="48">
      <c r="A212" s="15" t="s">
        <v>640</v>
      </c>
      <c r="B212" s="10" t="s">
        <v>73</v>
      </c>
      <c r="C212" s="10">
        <v>49</v>
      </c>
      <c r="D212" s="10"/>
      <c r="E212" s="10" t="s">
        <v>72</v>
      </c>
      <c r="F212" s="10" t="s">
        <v>292</v>
      </c>
      <c r="G212" s="10">
        <v>25</v>
      </c>
      <c r="H212" s="10">
        <v>22</v>
      </c>
      <c r="I212" s="10"/>
      <c r="J212" s="10"/>
      <c r="K212" s="10">
        <v>14</v>
      </c>
      <c r="L212" s="10">
        <v>5</v>
      </c>
      <c r="M212" s="10" t="s">
        <v>218</v>
      </c>
      <c r="N212" s="10" t="s">
        <v>219</v>
      </c>
      <c r="O212" s="31"/>
      <c r="P212" s="10" t="str">
        <f>HYPERLINK("http://www.stromypodkontrolou.cz/map/?draw_selection_circle=1#%7B%22lat%22%3A%2049.6648740340561%2C%20%22lng%22%3A%2018.6771595817409%2C%20%22zoom%22%3A%2020%7D")</f>
        <v>http://www.stromypodkontrolou.cz/map/?draw_selection_circle=1#%7B%22lat%22%3A%2049.6648740340561%2C%20%22lng%22%3A%2018.6771595817409%2C%20%22zoom%22%3A%2020%7D</v>
      </c>
    </row>
    <row r="213" spans="1:16" s="16" customFormat="1" ht="12.75">
      <c r="A213" s="2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 t="s">
        <v>171</v>
      </c>
      <c r="N213" s="10" t="s">
        <v>172</v>
      </c>
      <c r="O213" s="31"/>
      <c r="P213" s="10"/>
    </row>
    <row r="214" spans="1:16" ht="48">
      <c r="A214" s="4" t="s">
        <v>641</v>
      </c>
      <c r="B214" s="9" t="s">
        <v>26</v>
      </c>
      <c r="C214" s="9">
        <v>152</v>
      </c>
      <c r="D214" s="9"/>
      <c r="E214" s="9" t="s">
        <v>21</v>
      </c>
      <c r="F214" s="9" t="s">
        <v>197</v>
      </c>
      <c r="G214" s="9">
        <v>25</v>
      </c>
      <c r="H214" s="9"/>
      <c r="I214" s="9"/>
      <c r="J214" s="9"/>
      <c r="K214" s="9">
        <v>17</v>
      </c>
      <c r="L214" s="9">
        <v>4</v>
      </c>
      <c r="M214" s="9" t="s">
        <v>191</v>
      </c>
      <c r="N214" s="9" t="s">
        <v>192</v>
      </c>
      <c r="O214" s="31"/>
      <c r="P214" s="9" t="str">
        <f>HYPERLINK("http://www.stromypodkontrolou.cz/map/?draw_selection_circle=1#%7B%22lat%22%3A%2049.6654586286654%2C%20%22lng%22%3A%2018.6758833029313%2C%20%22zoom%22%3A%2020%7D")</f>
        <v>http://www.stromypodkontrolou.cz/map/?draw_selection_circle=1#%7B%22lat%22%3A%2049.6654586286654%2C%20%22lng%22%3A%2018.6758833029313%2C%20%22zoom%22%3A%2020%7D</v>
      </c>
    </row>
    <row r="215" spans="1:16" ht="12.75">
      <c r="A215" s="5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 t="s">
        <v>171</v>
      </c>
      <c r="N215" s="9" t="s">
        <v>172</v>
      </c>
      <c r="O215" s="31"/>
      <c r="P215" s="9"/>
    </row>
    <row r="216" spans="1:16" s="16" customFormat="1" ht="48">
      <c r="A216" s="15" t="s">
        <v>642</v>
      </c>
      <c r="B216" s="10" t="s">
        <v>26</v>
      </c>
      <c r="C216" s="10">
        <v>247</v>
      </c>
      <c r="D216" s="10"/>
      <c r="E216" s="10" t="s">
        <v>72</v>
      </c>
      <c r="F216" s="10" t="s">
        <v>292</v>
      </c>
      <c r="G216" s="10">
        <v>19</v>
      </c>
      <c r="H216" s="10"/>
      <c r="I216" s="10"/>
      <c r="J216" s="10"/>
      <c r="K216" s="10">
        <v>12</v>
      </c>
      <c r="L216" s="10">
        <v>4</v>
      </c>
      <c r="M216" s="10" t="s">
        <v>169</v>
      </c>
      <c r="N216" s="10" t="s">
        <v>170</v>
      </c>
      <c r="O216" s="31"/>
      <c r="P216" s="10" t="str">
        <f>HYPERLINK("http://www.stromypodkontrolou.cz/map/?draw_selection_circle=1#%7B%22lat%22%3A%2049.6644409999%2C%20%22lng%22%3A%2018.6737109919%2C%20%22zoom%22%3A%2020%7D")</f>
        <v>http://www.stromypodkontrolou.cz/map/?draw_selection_circle=1#%7B%22lat%22%3A%2049.6644409999%2C%20%22lng%22%3A%2018.6737109919%2C%20%22zoom%22%3A%2020%7D</v>
      </c>
    </row>
    <row r="217" spans="1:16" s="16" customFormat="1" ht="12.75">
      <c r="A217" s="2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 t="s">
        <v>171</v>
      </c>
      <c r="N217" s="10" t="s">
        <v>172</v>
      </c>
      <c r="O217" s="31"/>
      <c r="P217" s="10"/>
    </row>
    <row r="218" spans="1:16" ht="48">
      <c r="A218" s="4" t="s">
        <v>643</v>
      </c>
      <c r="B218" s="9" t="s">
        <v>26</v>
      </c>
      <c r="C218" s="9">
        <v>328</v>
      </c>
      <c r="D218" s="9"/>
      <c r="E218" s="9" t="s">
        <v>41</v>
      </c>
      <c r="F218" s="9" t="s">
        <v>238</v>
      </c>
      <c r="G218" s="9">
        <v>12</v>
      </c>
      <c r="H218" s="9">
        <v>8</v>
      </c>
      <c r="I218" s="9">
        <v>8</v>
      </c>
      <c r="J218" s="9">
        <v>7</v>
      </c>
      <c r="K218" s="9">
        <v>9</v>
      </c>
      <c r="L218" s="9">
        <v>5</v>
      </c>
      <c r="M218" s="9" t="s">
        <v>169</v>
      </c>
      <c r="N218" s="9" t="s">
        <v>170</v>
      </c>
      <c r="O218" s="31"/>
      <c r="P218" s="9" t="str">
        <f>HYPERLINK("http://www.stromypodkontrolou.cz/map/?draw_selection_circle=1#%7B%22lat%22%3A%2049.6643805813384%2C%20%22lng%22%3A%2018.6743482042745%2C%20%22zoom%22%3A%2020%7D")</f>
        <v>http://www.stromypodkontrolou.cz/map/?draw_selection_circle=1#%7B%22lat%22%3A%2049.6643805813384%2C%20%22lng%22%3A%2018.6743482042745%2C%20%22zoom%22%3A%2020%7D</v>
      </c>
    </row>
    <row r="219" spans="1:16" ht="12.75">
      <c r="A219" s="5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 t="s">
        <v>171</v>
      </c>
      <c r="N219" s="9" t="s">
        <v>172</v>
      </c>
      <c r="O219" s="31"/>
      <c r="P219" s="9"/>
    </row>
    <row r="220" spans="1:16" s="16" customFormat="1" ht="48">
      <c r="A220" s="15" t="s">
        <v>644</v>
      </c>
      <c r="B220" s="10" t="s">
        <v>26</v>
      </c>
      <c r="C220" s="10">
        <v>327</v>
      </c>
      <c r="D220" s="10"/>
      <c r="E220" s="10" t="s">
        <v>41</v>
      </c>
      <c r="F220" s="10" t="s">
        <v>238</v>
      </c>
      <c r="G220" s="10">
        <v>12</v>
      </c>
      <c r="H220" s="10">
        <v>9</v>
      </c>
      <c r="I220" s="10">
        <v>8</v>
      </c>
      <c r="J220" s="10">
        <v>7</v>
      </c>
      <c r="K220" s="10">
        <v>9</v>
      </c>
      <c r="L220" s="10">
        <v>4</v>
      </c>
      <c r="M220" s="10" t="s">
        <v>169</v>
      </c>
      <c r="N220" s="10" t="s">
        <v>170</v>
      </c>
      <c r="O220" s="31"/>
      <c r="P220" s="10" t="str">
        <f>HYPERLINK("http://www.stromypodkontrolou.cz/map/?draw_selection_circle=1#%7B%22lat%22%3A%2049.6643473784736%2C%20%22lng%22%3A%2018.6743300993658%2C%20%22zoom%22%3A%2020%7D")</f>
        <v>http://www.stromypodkontrolou.cz/map/?draw_selection_circle=1#%7B%22lat%22%3A%2049.6643473784736%2C%20%22lng%22%3A%2018.6743300993658%2C%20%22zoom%22%3A%2020%7D</v>
      </c>
    </row>
    <row r="221" spans="1:16" s="16" customFormat="1" ht="12.75">
      <c r="A221" s="2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 t="s">
        <v>171</v>
      </c>
      <c r="N221" s="10" t="s">
        <v>172</v>
      </c>
      <c r="O221" s="31"/>
      <c r="P221" s="10"/>
    </row>
    <row r="222" spans="1:16" ht="48">
      <c r="A222" s="4" t="s">
        <v>645</v>
      </c>
      <c r="B222" s="9" t="s">
        <v>110</v>
      </c>
      <c r="C222" s="9">
        <v>1</v>
      </c>
      <c r="D222" s="9"/>
      <c r="E222" s="9" t="s">
        <v>21</v>
      </c>
      <c r="F222" s="9" t="s">
        <v>197</v>
      </c>
      <c r="G222" s="9">
        <v>48</v>
      </c>
      <c r="H222" s="9"/>
      <c r="I222" s="9"/>
      <c r="J222" s="9"/>
      <c r="K222" s="9">
        <v>17</v>
      </c>
      <c r="L222" s="9">
        <v>10</v>
      </c>
      <c r="M222" s="9" t="s">
        <v>224</v>
      </c>
      <c r="N222" s="9" t="s">
        <v>225</v>
      </c>
      <c r="O222" s="31"/>
      <c r="P222" s="9" t="str">
        <f>HYPERLINK("http://www.stromypodkontrolou.cz/map/?draw_selection_circle=1#%7B%22lat%22%3A%2049.6773203197017%2C%20%22lng%22%3A%2018.6734082135502%2C%20%22zoom%22%3A%2020%7D")</f>
        <v>http://www.stromypodkontrolou.cz/map/?draw_selection_circle=1#%7B%22lat%22%3A%2049.6773203197017%2C%20%22lng%22%3A%2018.6734082135502%2C%20%22zoom%22%3A%2020%7D</v>
      </c>
    </row>
    <row r="223" spans="1:16" ht="12.75">
      <c r="A223" s="5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 t="s">
        <v>171</v>
      </c>
      <c r="N223" s="9" t="s">
        <v>172</v>
      </c>
      <c r="O223" s="31"/>
      <c r="P223" s="9"/>
    </row>
    <row r="224" spans="1:16" s="16" customFormat="1" ht="48">
      <c r="A224" s="15" t="s">
        <v>646</v>
      </c>
      <c r="B224" s="10" t="s">
        <v>12</v>
      </c>
      <c r="C224" s="10">
        <v>214</v>
      </c>
      <c r="D224" s="10"/>
      <c r="E224" s="10" t="s">
        <v>106</v>
      </c>
      <c r="F224" s="10" t="s">
        <v>347</v>
      </c>
      <c r="G224" s="10">
        <v>6</v>
      </c>
      <c r="H224" s="10">
        <v>5</v>
      </c>
      <c r="I224" s="10"/>
      <c r="J224" s="10"/>
      <c r="K224" s="10">
        <v>2</v>
      </c>
      <c r="L224" s="10">
        <v>2</v>
      </c>
      <c r="M224" s="10" t="s">
        <v>171</v>
      </c>
      <c r="N224" s="10" t="s">
        <v>172</v>
      </c>
      <c r="O224" s="31"/>
      <c r="P224" s="10" t="str">
        <f>HYPERLINK("http://www.stromypodkontrolou.cz/map/?draw_selection_circle=1#%7B%22lat%22%3A%2049.6794382367377%2C%20%22lng%22%3A%2018.6822100973591%2C%20%22zoom%22%3A%2020%7D")</f>
        <v>http://www.stromypodkontrolou.cz/map/?draw_selection_circle=1#%7B%22lat%22%3A%2049.6794382367377%2C%20%22lng%22%3A%2018.6822100973591%2C%20%22zoom%22%3A%2020%7D</v>
      </c>
    </row>
    <row r="225" spans="1:16" s="16" customFormat="1" ht="12.75">
      <c r="A225" s="2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 t="s">
        <v>169</v>
      </c>
      <c r="N225" s="10" t="s">
        <v>170</v>
      </c>
      <c r="O225" s="31"/>
      <c r="P225" s="10"/>
    </row>
    <row r="226" spans="1:16" ht="48">
      <c r="A226" s="19" t="s">
        <v>647</v>
      </c>
      <c r="B226" s="9" t="s">
        <v>12</v>
      </c>
      <c r="C226" s="9">
        <v>350</v>
      </c>
      <c r="D226" s="9"/>
      <c r="E226" s="9" t="s">
        <v>30</v>
      </c>
      <c r="F226" s="9" t="s">
        <v>211</v>
      </c>
      <c r="G226" s="9">
        <v>18</v>
      </c>
      <c r="H226" s="9"/>
      <c r="I226" s="9"/>
      <c r="J226" s="9"/>
      <c r="K226" s="9">
        <v>12</v>
      </c>
      <c r="L226" s="9">
        <v>5</v>
      </c>
      <c r="M226" s="9" t="s">
        <v>169</v>
      </c>
      <c r="N226" s="9" t="s">
        <v>170</v>
      </c>
      <c r="O226" s="31"/>
      <c r="P226" s="9" t="str">
        <f>HYPERLINK("http://www.stromypodkontrolou.cz/map/?draw_selection_circle=1#%7B%22lat%22%3A%2049.6787183744%2C%20%22lng%22%3A%2018.6847170445%2C%20%22zoom%22%3A%2020%7D")</f>
        <v>http://www.stromypodkontrolou.cz/map/?draw_selection_circle=1#%7B%22lat%22%3A%2049.6787183744%2C%20%22lng%22%3A%2018.6847170445%2C%20%22zoom%22%3A%2020%7D</v>
      </c>
    </row>
    <row r="227" spans="1:16" s="16" customFormat="1" ht="48">
      <c r="A227" s="15" t="s">
        <v>648</v>
      </c>
      <c r="B227" s="10" t="s">
        <v>12</v>
      </c>
      <c r="C227" s="10">
        <v>353</v>
      </c>
      <c r="D227" s="10"/>
      <c r="E227" s="10" t="s">
        <v>72</v>
      </c>
      <c r="F227" s="10" t="s">
        <v>292</v>
      </c>
      <c r="G227" s="10">
        <v>12</v>
      </c>
      <c r="H227" s="10"/>
      <c r="I227" s="10"/>
      <c r="J227" s="10"/>
      <c r="K227" s="10">
        <v>3</v>
      </c>
      <c r="L227" s="10">
        <v>3</v>
      </c>
      <c r="M227" s="10" t="s">
        <v>171</v>
      </c>
      <c r="N227" s="10" t="s">
        <v>172</v>
      </c>
      <c r="O227" s="31"/>
      <c r="P227" s="10" t="str">
        <f>HYPERLINK("http://www.stromypodkontrolou.cz/map/?draw_selection_circle=1#%7B%22lat%22%3A%2049.6786105362383%2C%20%22lng%22%3A%2018.6851748724103%2C%20%22zoom%22%3A%2020%7D")</f>
        <v>http://www.stromypodkontrolou.cz/map/?draw_selection_circle=1#%7B%22lat%22%3A%2049.6786105362383%2C%20%22lng%22%3A%2018.6851748724103%2C%20%22zoom%22%3A%2020%7D</v>
      </c>
    </row>
    <row r="228" spans="1:16" s="16" customFormat="1" ht="12.75">
      <c r="A228" s="17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 t="s">
        <v>169</v>
      </c>
      <c r="N228" s="10" t="s">
        <v>170</v>
      </c>
      <c r="O228" s="31"/>
      <c r="P228" s="10"/>
    </row>
    <row r="229" spans="1:16" ht="48">
      <c r="A229" s="4" t="s">
        <v>649</v>
      </c>
      <c r="B229" s="9" t="s">
        <v>12</v>
      </c>
      <c r="C229" s="9">
        <v>417</v>
      </c>
      <c r="D229" s="9"/>
      <c r="E229" s="9" t="s">
        <v>24</v>
      </c>
      <c r="F229" s="9" t="s">
        <v>200</v>
      </c>
      <c r="G229" s="9">
        <v>14</v>
      </c>
      <c r="H229" s="9">
        <v>11</v>
      </c>
      <c r="I229" s="9">
        <v>11</v>
      </c>
      <c r="J229" s="9"/>
      <c r="K229" s="9">
        <v>16</v>
      </c>
      <c r="L229" s="9">
        <v>8</v>
      </c>
      <c r="M229" s="9" t="s">
        <v>169</v>
      </c>
      <c r="N229" s="9" t="s">
        <v>170</v>
      </c>
      <c r="O229" s="31"/>
      <c r="P229" s="9" t="str">
        <f>HYPERLINK("http://www.stromypodkontrolou.cz/map/?draw_selection_circle=1#%7B%22lat%22%3A%2049.6773936882439%2C%20%22lng%22%3A%2018.6879937759761%2C%20%22zoom%22%3A%2020%7D")</f>
        <v>http://www.stromypodkontrolou.cz/map/?draw_selection_circle=1#%7B%22lat%22%3A%2049.6773936882439%2C%20%22lng%22%3A%2018.6879937759761%2C%20%22zoom%22%3A%2020%7D</v>
      </c>
    </row>
    <row r="230" spans="1:16" ht="12.75">
      <c r="A230" s="5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 t="s">
        <v>171</v>
      </c>
      <c r="N230" s="9" t="s">
        <v>172</v>
      </c>
      <c r="O230" s="31"/>
      <c r="P230" s="9"/>
    </row>
    <row r="231" spans="1:16" s="16" customFormat="1" ht="48">
      <c r="A231" s="15" t="s">
        <v>650</v>
      </c>
      <c r="B231" s="10" t="s">
        <v>12</v>
      </c>
      <c r="C231" s="10">
        <v>435</v>
      </c>
      <c r="D231" s="10"/>
      <c r="E231" s="10" t="s">
        <v>14</v>
      </c>
      <c r="F231" s="10" t="s">
        <v>180</v>
      </c>
      <c r="G231" s="10">
        <v>7</v>
      </c>
      <c r="H231" s="10"/>
      <c r="I231" s="10"/>
      <c r="J231" s="10"/>
      <c r="K231" s="10">
        <v>5</v>
      </c>
      <c r="L231" s="10">
        <v>2</v>
      </c>
      <c r="M231" s="10" t="s">
        <v>169</v>
      </c>
      <c r="N231" s="10" t="s">
        <v>170</v>
      </c>
      <c r="O231" s="31"/>
      <c r="P231" s="10" t="str">
        <f>HYPERLINK("http://www.stromypodkontrolou.cz/map/?draw_selection_circle=1#%7B%22lat%22%3A%2049.6776493996568%2C%20%22lng%22%3A%2018.6879186325051%2C%20%22zoom%22%3A%2020%7D")</f>
        <v>http://www.stromypodkontrolou.cz/map/?draw_selection_circle=1#%7B%22lat%22%3A%2049.6776493996568%2C%20%22lng%22%3A%2018.6879186325051%2C%20%22zoom%22%3A%2020%7D</v>
      </c>
    </row>
    <row r="232" spans="1:16" s="16" customFormat="1" ht="12.75">
      <c r="A232" s="2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 t="s">
        <v>171</v>
      </c>
      <c r="N232" s="10" t="s">
        <v>172</v>
      </c>
      <c r="O232" s="31"/>
      <c r="P232" s="10"/>
    </row>
    <row r="233" spans="1:16" ht="48">
      <c r="A233" s="4" t="s">
        <v>651</v>
      </c>
      <c r="B233" s="9" t="s">
        <v>12</v>
      </c>
      <c r="C233" s="9">
        <v>436</v>
      </c>
      <c r="D233" s="9"/>
      <c r="E233" s="9" t="s">
        <v>15</v>
      </c>
      <c r="F233" s="9" t="s">
        <v>183</v>
      </c>
      <c r="G233" s="9">
        <v>3</v>
      </c>
      <c r="H233" s="9"/>
      <c r="I233" s="9"/>
      <c r="J233" s="9"/>
      <c r="K233" s="9">
        <v>4</v>
      </c>
      <c r="L233" s="9">
        <v>2</v>
      </c>
      <c r="M233" s="9" t="s">
        <v>171</v>
      </c>
      <c r="N233" s="9" t="s">
        <v>172</v>
      </c>
      <c r="O233" s="31"/>
      <c r="P233" s="9" t="str">
        <f>HYPERLINK("http://www.stromypodkontrolou.cz/map/?draw_selection_circle=1#%7B%22lat%22%3A%2049.6776595617857%2C%20%22lng%22%3A%2018.6879302575119%2C%20%22zoom%22%3A%2020%7D")</f>
        <v>http://www.stromypodkontrolou.cz/map/?draw_selection_circle=1#%7B%22lat%22%3A%2049.6776595617857%2C%20%22lng%22%3A%2018.6879302575119%2C%20%22zoom%22%3A%2020%7D</v>
      </c>
    </row>
    <row r="234" spans="1:16" ht="12.75">
      <c r="A234" s="5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 t="s">
        <v>169</v>
      </c>
      <c r="N234" s="9" t="s">
        <v>170</v>
      </c>
      <c r="O234" s="31"/>
      <c r="P234" s="9"/>
    </row>
    <row r="235" spans="1:16" s="16" customFormat="1" ht="48">
      <c r="A235" s="15" t="s">
        <v>652</v>
      </c>
      <c r="B235" s="10" t="s">
        <v>12</v>
      </c>
      <c r="C235" s="10">
        <v>432</v>
      </c>
      <c r="D235" s="10"/>
      <c r="E235" s="10" t="s">
        <v>41</v>
      </c>
      <c r="F235" s="10" t="s">
        <v>238</v>
      </c>
      <c r="G235" s="10">
        <v>20</v>
      </c>
      <c r="H235" s="10">
        <v>18</v>
      </c>
      <c r="I235" s="10"/>
      <c r="J235" s="10"/>
      <c r="K235" s="10">
        <v>12</v>
      </c>
      <c r="L235" s="10">
        <v>8</v>
      </c>
      <c r="M235" s="10" t="s">
        <v>171</v>
      </c>
      <c r="N235" s="10" t="s">
        <v>172</v>
      </c>
      <c r="O235" s="31"/>
      <c r="P235" s="10" t="str">
        <f>HYPERLINK("http://www.stromypodkontrolou.cz/map/?draw_selection_circle=1#%7B%22lat%22%3A%2049.6776608567311%2C%20%22lng%22%3A%2018.687977954003%2C%20%22zoom%22%3A%2020%7D")</f>
        <v>http://www.stromypodkontrolou.cz/map/?draw_selection_circle=1#%7B%22lat%22%3A%2049.6776608567311%2C%20%22lng%22%3A%2018.687977954003%2C%20%22zoom%22%3A%2020%7D</v>
      </c>
    </row>
    <row r="236" spans="1:16" s="16" customFormat="1" ht="24">
      <c r="A236" s="2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 t="s">
        <v>191</v>
      </c>
      <c r="N236" s="10" t="s">
        <v>192</v>
      </c>
      <c r="O236" s="31"/>
      <c r="P236" s="10"/>
    </row>
    <row r="237" spans="1:16" ht="48">
      <c r="A237" s="19" t="s">
        <v>653</v>
      </c>
      <c r="B237" s="9" t="s">
        <v>12</v>
      </c>
      <c r="C237" s="9">
        <v>478</v>
      </c>
      <c r="D237" s="9"/>
      <c r="E237" s="9" t="s">
        <v>24</v>
      </c>
      <c r="F237" s="9" t="s">
        <v>200</v>
      </c>
      <c r="G237" s="9">
        <v>14</v>
      </c>
      <c r="H237" s="9">
        <v>13</v>
      </c>
      <c r="I237" s="9">
        <v>10</v>
      </c>
      <c r="J237" s="9"/>
      <c r="K237" s="9">
        <v>9</v>
      </c>
      <c r="L237" s="9">
        <v>5</v>
      </c>
      <c r="M237" s="9" t="s">
        <v>169</v>
      </c>
      <c r="N237" s="9" t="s">
        <v>170</v>
      </c>
      <c r="O237" s="31"/>
      <c r="P237" s="9" t="str">
        <f>HYPERLINK("http://www.stromypodkontrolou.cz/map/?draw_selection_circle=1#%7B%22lat%22%3A%2049.6781577592%2C%20%22lng%22%3A%2018.6874210061%2C%20%22zoom%22%3A%2020%7D")</f>
        <v>http://www.stromypodkontrolou.cz/map/?draw_selection_circle=1#%7B%22lat%22%3A%2049.6781577592%2C%20%22lng%22%3A%2018.6874210061%2C%20%22zoom%22%3A%2020%7D</v>
      </c>
    </row>
    <row r="238" spans="1:16" s="16" customFormat="1" ht="48">
      <c r="A238" s="15" t="s">
        <v>654</v>
      </c>
      <c r="B238" s="10" t="s">
        <v>43</v>
      </c>
      <c r="C238" s="10">
        <v>58</v>
      </c>
      <c r="D238" s="10"/>
      <c r="E238" s="10" t="s">
        <v>111</v>
      </c>
      <c r="F238" s="10" t="s">
        <v>362</v>
      </c>
      <c r="G238" s="10">
        <v>12</v>
      </c>
      <c r="H238" s="10"/>
      <c r="I238" s="10"/>
      <c r="J238" s="10"/>
      <c r="K238" s="10">
        <v>4</v>
      </c>
      <c r="L238" s="10">
        <v>4</v>
      </c>
      <c r="M238" s="10" t="s">
        <v>169</v>
      </c>
      <c r="N238" s="10" t="s">
        <v>170</v>
      </c>
      <c r="O238" s="31"/>
      <c r="P238" s="10" t="str">
        <f>HYPERLINK("http://www.stromypodkontrolou.cz/map/?draw_selection_circle=1#%7B%22lat%22%3A%2049.6755773606729%2C%20%22lng%22%3A%2018.6696820714346%2C%20%22zoom%22%3A%2020%7D")</f>
        <v>http://www.stromypodkontrolou.cz/map/?draw_selection_circle=1#%7B%22lat%22%3A%2049.6755773606729%2C%20%22lng%22%3A%2018.6696820714346%2C%20%22zoom%22%3A%2020%7D</v>
      </c>
    </row>
    <row r="239" spans="1:16" s="16" customFormat="1" ht="12.75">
      <c r="A239" s="2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 t="s">
        <v>171</v>
      </c>
      <c r="N239" s="10" t="s">
        <v>172</v>
      </c>
      <c r="O239" s="31"/>
      <c r="P239" s="10"/>
    </row>
    <row r="240" spans="1:16" ht="48">
      <c r="A240" s="4" t="s">
        <v>655</v>
      </c>
      <c r="B240" s="9" t="s">
        <v>43</v>
      </c>
      <c r="C240" s="9">
        <v>122</v>
      </c>
      <c r="D240" s="9"/>
      <c r="E240" s="9" t="s">
        <v>27</v>
      </c>
      <c r="F240" s="9" t="s">
        <v>204</v>
      </c>
      <c r="G240" s="9">
        <v>9</v>
      </c>
      <c r="H240" s="9"/>
      <c r="I240" s="9"/>
      <c r="J240" s="9"/>
      <c r="K240" s="9">
        <v>7</v>
      </c>
      <c r="L240" s="9">
        <v>3</v>
      </c>
      <c r="M240" s="9" t="s">
        <v>169</v>
      </c>
      <c r="N240" s="9" t="s">
        <v>170</v>
      </c>
      <c r="O240" s="31"/>
      <c r="P240" s="9" t="str">
        <f>HYPERLINK("http://www.stromypodkontrolou.cz/map/?draw_selection_circle=1#%7B%22lat%22%3A%2049.6754860422048%2C%20%22lng%22%3A%2018.6689499379246%2C%20%22zoom%22%3A%2020%7D")</f>
        <v>http://www.stromypodkontrolou.cz/map/?draw_selection_circle=1#%7B%22lat%22%3A%2049.6754860422048%2C%20%22lng%22%3A%2018.6689499379246%2C%20%22zoom%22%3A%2020%7D</v>
      </c>
    </row>
    <row r="241" spans="1:16" ht="12.75">
      <c r="A241" s="5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 t="s">
        <v>171</v>
      </c>
      <c r="N241" s="9" t="s">
        <v>172</v>
      </c>
      <c r="O241" s="31"/>
      <c r="P241" s="9"/>
    </row>
    <row r="242" spans="1:16" s="16" customFormat="1" ht="48">
      <c r="A242" s="15" t="s">
        <v>656</v>
      </c>
      <c r="B242" s="10" t="s">
        <v>43</v>
      </c>
      <c r="C242" s="10">
        <v>82</v>
      </c>
      <c r="D242" s="10"/>
      <c r="E242" s="10" t="s">
        <v>24</v>
      </c>
      <c r="F242" s="10" t="s">
        <v>200</v>
      </c>
      <c r="G242" s="10">
        <v>11</v>
      </c>
      <c r="H242" s="10"/>
      <c r="I242" s="10"/>
      <c r="J242" s="10"/>
      <c r="K242" s="10">
        <v>7</v>
      </c>
      <c r="L242" s="10">
        <v>2</v>
      </c>
      <c r="M242" s="10" t="s">
        <v>169</v>
      </c>
      <c r="N242" s="10" t="s">
        <v>170</v>
      </c>
      <c r="O242" s="31"/>
      <c r="P242" s="10" t="str">
        <f>HYPERLINK("http://www.stromypodkontrolou.cz/map/?draw_selection_circle=1#%7B%22lat%22%3A%2049.675222652%2C%20%22lng%22%3A%2018.6690536754%2C%20%22zoom%22%3A%2020%7D")</f>
        <v>http://www.stromypodkontrolou.cz/map/?draw_selection_circle=1#%7B%22lat%22%3A%2049.675222652%2C%20%22lng%22%3A%2018.6690536754%2C%20%22zoom%22%3A%2020%7D</v>
      </c>
    </row>
    <row r="243" spans="1:16" s="16" customFormat="1" ht="12.75">
      <c r="A243" s="2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 t="s">
        <v>171</v>
      </c>
      <c r="N243" s="10" t="s">
        <v>172</v>
      </c>
      <c r="O243" s="31"/>
      <c r="P243" s="10"/>
    </row>
    <row r="244" spans="1:16" ht="48">
      <c r="A244" s="4" t="s">
        <v>657</v>
      </c>
      <c r="B244" s="9" t="s">
        <v>43</v>
      </c>
      <c r="C244" s="9">
        <v>89</v>
      </c>
      <c r="D244" s="9"/>
      <c r="E244" s="9" t="s">
        <v>46</v>
      </c>
      <c r="F244" s="9" t="s">
        <v>248</v>
      </c>
      <c r="G244" s="9">
        <v>10</v>
      </c>
      <c r="H244" s="9"/>
      <c r="I244" s="9"/>
      <c r="J244" s="9"/>
      <c r="K244" s="9">
        <v>6</v>
      </c>
      <c r="L244" s="9">
        <v>2</v>
      </c>
      <c r="M244" s="9" t="s">
        <v>218</v>
      </c>
      <c r="N244" s="9" t="s">
        <v>219</v>
      </c>
      <c r="O244" s="31"/>
      <c r="P244" s="9" t="str">
        <f>HYPERLINK("http://www.stromypodkontrolou.cz/map/?draw_selection_circle=1#%7B%22lat%22%3A%2049.6751119713%2C%20%22lng%22%3A%2018.6694504357%2C%20%22zoom%22%3A%2020%7D")</f>
        <v>http://www.stromypodkontrolou.cz/map/?draw_selection_circle=1#%7B%22lat%22%3A%2049.6751119713%2C%20%22lng%22%3A%2018.6694504357%2C%20%22zoom%22%3A%2020%7D</v>
      </c>
    </row>
    <row r="245" spans="1:16" ht="12.75">
      <c r="A245" s="5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 t="s">
        <v>171</v>
      </c>
      <c r="N245" s="9" t="s">
        <v>172</v>
      </c>
      <c r="O245" s="31"/>
      <c r="P245" s="9"/>
    </row>
    <row r="246" spans="1:16" s="16" customFormat="1" ht="48">
      <c r="A246" s="18" t="s">
        <v>658</v>
      </c>
      <c r="B246" s="10" t="s">
        <v>56</v>
      </c>
      <c r="C246" s="10">
        <v>161</v>
      </c>
      <c r="D246" s="10"/>
      <c r="E246" s="10" t="s">
        <v>23</v>
      </c>
      <c r="F246" s="10" t="s">
        <v>198</v>
      </c>
      <c r="G246" s="10">
        <v>36</v>
      </c>
      <c r="H246" s="10"/>
      <c r="I246" s="10"/>
      <c r="J246" s="10"/>
      <c r="K246" s="10">
        <v>15</v>
      </c>
      <c r="L246" s="10">
        <v>9</v>
      </c>
      <c r="M246" s="10" t="s">
        <v>224</v>
      </c>
      <c r="N246" s="10" t="s">
        <v>225</v>
      </c>
      <c r="O246" s="31"/>
      <c r="P246" s="10" t="str">
        <f>HYPERLINK("http://www.stromypodkontrolou.cz/map/?draw_selection_circle=1#%7B%22lat%22%3A%2049.6727288948574%2C%20%22lng%22%3A%2018.6694482815676%2C%20%22zoom%22%3A%2020%7D")</f>
        <v>http://www.stromypodkontrolou.cz/map/?draw_selection_circle=1#%7B%22lat%22%3A%2049.6727288948574%2C%20%22lng%22%3A%2018.6694482815676%2C%20%22zoom%22%3A%2020%7D</v>
      </c>
    </row>
    <row r="247" spans="1:16" ht="48">
      <c r="A247" s="19" t="s">
        <v>659</v>
      </c>
      <c r="B247" s="9" t="s">
        <v>56</v>
      </c>
      <c r="C247" s="9">
        <v>158</v>
      </c>
      <c r="D247" s="9"/>
      <c r="E247" s="9" t="s">
        <v>23</v>
      </c>
      <c r="F247" s="9" t="s">
        <v>198</v>
      </c>
      <c r="G247" s="9">
        <v>22</v>
      </c>
      <c r="H247" s="9"/>
      <c r="I247" s="9"/>
      <c r="J247" s="9"/>
      <c r="K247" s="9">
        <v>22</v>
      </c>
      <c r="L247" s="9">
        <v>5</v>
      </c>
      <c r="M247" s="9" t="s">
        <v>169</v>
      </c>
      <c r="N247" s="9" t="s">
        <v>170</v>
      </c>
      <c r="O247" s="31"/>
      <c r="P247" s="9" t="str">
        <f>HYPERLINK("http://www.stromypodkontrolou.cz/map/?draw_selection_circle=1#%7B%22lat%22%3A%2049.6727723650927%2C%20%22lng%22%3A%2018.6695257006542%2C%20%22zoom%22%3A%2020%7D")</f>
        <v>http://www.stromypodkontrolou.cz/map/?draw_selection_circle=1#%7B%22lat%22%3A%2049.6727723650927%2C%20%22lng%22%3A%2018.6695257006542%2C%20%22zoom%22%3A%2020%7D</v>
      </c>
    </row>
    <row r="248" spans="1:16" s="16" customFormat="1" ht="48">
      <c r="A248" s="18" t="s">
        <v>660</v>
      </c>
      <c r="B248" s="10" t="s">
        <v>56</v>
      </c>
      <c r="C248" s="10">
        <v>247</v>
      </c>
      <c r="D248" s="10"/>
      <c r="E248" s="10" t="s">
        <v>65</v>
      </c>
      <c r="F248" s="10" t="s">
        <v>280</v>
      </c>
      <c r="G248" s="10">
        <v>17</v>
      </c>
      <c r="H248" s="10"/>
      <c r="I248" s="10"/>
      <c r="J248" s="10"/>
      <c r="K248" s="10">
        <v>6</v>
      </c>
      <c r="L248" s="10">
        <v>5</v>
      </c>
      <c r="M248" s="10" t="s">
        <v>169</v>
      </c>
      <c r="N248" s="10" t="s">
        <v>170</v>
      </c>
      <c r="O248" s="31"/>
      <c r="P248" s="10" t="str">
        <f>HYPERLINK("http://www.stromypodkontrolou.cz/map/?draw_selection_circle=1#%7B%22lat%22%3A%2049.672823582%2C%20%22lng%22%3A%2018.6695333144%2C%20%22zoom%22%3A%2020%7D")</f>
        <v>http://www.stromypodkontrolou.cz/map/?draw_selection_circle=1#%7B%22lat%22%3A%2049.672823582%2C%20%22lng%22%3A%2018.6695333144%2C%20%22zoom%22%3A%2020%7D</v>
      </c>
    </row>
    <row r="249" spans="1:16" ht="48">
      <c r="A249" s="19" t="s">
        <v>661</v>
      </c>
      <c r="B249" s="9" t="s">
        <v>56</v>
      </c>
      <c r="C249" s="9">
        <v>146</v>
      </c>
      <c r="D249" s="9"/>
      <c r="E249" s="9" t="s">
        <v>70</v>
      </c>
      <c r="F249" s="9" t="s">
        <v>285</v>
      </c>
      <c r="G249" s="9">
        <v>21</v>
      </c>
      <c r="H249" s="9"/>
      <c r="I249" s="9"/>
      <c r="J249" s="9"/>
      <c r="K249" s="9">
        <v>13</v>
      </c>
      <c r="L249" s="9">
        <v>6</v>
      </c>
      <c r="M249" s="9" t="s">
        <v>169</v>
      </c>
      <c r="N249" s="9" t="s">
        <v>170</v>
      </c>
      <c r="O249" s="31"/>
      <c r="P249" s="9" t="str">
        <f>HYPERLINK("http://www.stromypodkontrolou.cz/map/?draw_selection_circle=1#%7B%22lat%22%3A%2049.6728502378%2C%20%22lng%22%3A%2018.6693845584%2C%20%22zoom%22%3A%2020%7D")</f>
        <v>http://www.stromypodkontrolou.cz/map/?draw_selection_circle=1#%7B%22lat%22%3A%2049.6728502378%2C%20%22lng%22%3A%2018.6693845584%2C%20%22zoom%22%3A%2020%7D</v>
      </c>
    </row>
    <row r="250" spans="1:16" s="16" customFormat="1" ht="48">
      <c r="A250" s="18" t="s">
        <v>662</v>
      </c>
      <c r="B250" s="10" t="s">
        <v>56</v>
      </c>
      <c r="C250" s="10">
        <v>133</v>
      </c>
      <c r="D250" s="10"/>
      <c r="E250" s="10" t="s">
        <v>11</v>
      </c>
      <c r="F250" s="10" t="s">
        <v>173</v>
      </c>
      <c r="G250" s="10">
        <v>28</v>
      </c>
      <c r="H250" s="10"/>
      <c r="I250" s="10"/>
      <c r="J250" s="10"/>
      <c r="K250" s="10">
        <v>18</v>
      </c>
      <c r="L250" s="10">
        <v>8</v>
      </c>
      <c r="M250" s="10" t="s">
        <v>191</v>
      </c>
      <c r="N250" s="10" t="s">
        <v>192</v>
      </c>
      <c r="O250" s="31"/>
      <c r="P250" s="10" t="str">
        <f>HYPERLINK("http://www.stromypodkontrolou.cz/map/?draw_selection_circle=1#%7B%22lat%22%3A%2049.6731847842638%2C%20%22lng%22%3A%2018.6694430432585%2C%20%22zoom%22%3A%2020%7D")</f>
        <v>http://www.stromypodkontrolou.cz/map/?draw_selection_circle=1#%7B%22lat%22%3A%2049.6731847842638%2C%20%22lng%22%3A%2018.6694430432585%2C%20%22zoom%22%3A%2020%7D</v>
      </c>
    </row>
    <row r="251" spans="1:16" ht="48">
      <c r="A251" s="19" t="s">
        <v>663</v>
      </c>
      <c r="B251" s="9" t="s">
        <v>56</v>
      </c>
      <c r="C251" s="9">
        <v>127</v>
      </c>
      <c r="D251" s="9"/>
      <c r="E251" s="9" t="s">
        <v>10</v>
      </c>
      <c r="F251" s="9" t="s">
        <v>165</v>
      </c>
      <c r="G251" s="9">
        <v>24</v>
      </c>
      <c r="H251" s="9"/>
      <c r="I251" s="9"/>
      <c r="J251" s="9"/>
      <c r="K251" s="9">
        <v>9</v>
      </c>
      <c r="L251" s="9">
        <v>7</v>
      </c>
      <c r="M251" s="9" t="s">
        <v>218</v>
      </c>
      <c r="N251" s="9" t="s">
        <v>219</v>
      </c>
      <c r="O251" s="31"/>
      <c r="P251" s="9" t="str">
        <f>HYPERLINK("http://www.stromypodkontrolou.cz/map/?draw_selection_circle=1#%7B%22lat%22%3A%2049.6732544669222%2C%20%22lng%22%3A%2018.6693796539627%2C%20%22zoom%22%3A%2020%7D")</f>
        <v>http://www.stromypodkontrolou.cz/map/?draw_selection_circle=1#%7B%22lat%22%3A%2049.6732544669222%2C%20%22lng%22%3A%2018.6693796539627%2C%20%22zoom%22%3A%2020%7D</v>
      </c>
    </row>
    <row r="252" spans="1:16" s="16" customFormat="1" ht="48">
      <c r="A252" s="18" t="s">
        <v>664</v>
      </c>
      <c r="B252" s="10" t="s">
        <v>56</v>
      </c>
      <c r="C252" s="10">
        <v>123</v>
      </c>
      <c r="D252" s="10"/>
      <c r="E252" s="10" t="s">
        <v>23</v>
      </c>
      <c r="F252" s="10" t="s">
        <v>198</v>
      </c>
      <c r="G252" s="10">
        <v>25</v>
      </c>
      <c r="H252" s="10"/>
      <c r="I252" s="10"/>
      <c r="J252" s="10"/>
      <c r="K252" s="10">
        <v>15</v>
      </c>
      <c r="L252" s="10">
        <v>7</v>
      </c>
      <c r="M252" s="10" t="s">
        <v>191</v>
      </c>
      <c r="N252" s="10" t="s">
        <v>192</v>
      </c>
      <c r="O252" s="31"/>
      <c r="P252" s="10" t="str">
        <f>HYPERLINK("http://www.stromypodkontrolou.cz/map/?draw_selection_circle=1#%7B%22lat%22%3A%2049.6732712926229%2C%20%22lng%22%3A%2018.6694272565585%2C%20%22zoom%22%3A%2020%7D")</f>
        <v>http://www.stromypodkontrolou.cz/map/?draw_selection_circle=1#%7B%22lat%22%3A%2049.6732712926229%2C%20%22lng%22%3A%2018.6694272565585%2C%20%22zoom%22%3A%2020%7D</v>
      </c>
    </row>
    <row r="253" spans="1:16" ht="48">
      <c r="A253" s="19" t="s">
        <v>665</v>
      </c>
      <c r="B253" s="9" t="s">
        <v>56</v>
      </c>
      <c r="C253" s="9">
        <v>101</v>
      </c>
      <c r="D253" s="9"/>
      <c r="E253" s="9" t="s">
        <v>57</v>
      </c>
      <c r="F253" s="9" t="s">
        <v>261</v>
      </c>
      <c r="G253" s="9">
        <v>12</v>
      </c>
      <c r="H253" s="9">
        <v>10</v>
      </c>
      <c r="I253" s="9"/>
      <c r="J253" s="9"/>
      <c r="K253" s="9">
        <v>6</v>
      </c>
      <c r="L253" s="9">
        <v>6</v>
      </c>
      <c r="M253" s="9" t="s">
        <v>169</v>
      </c>
      <c r="N253" s="9" t="s">
        <v>170</v>
      </c>
      <c r="O253" s="31"/>
      <c r="P253" s="9" t="str">
        <f>HYPERLINK("http://www.stromypodkontrolou.cz/map/?draw_selection_circle=1#%7B%22lat%22%3A%2049.673608179738%2C%20%22lng%22%3A%2018.6693311782204%2C%20%22zoom%22%3A%2020%7D")</f>
        <v>http://www.stromypodkontrolou.cz/map/?draw_selection_circle=1#%7B%22lat%22%3A%2049.673608179738%2C%20%22lng%22%3A%2018.6693311782204%2C%20%22zoom%22%3A%2020%7D</v>
      </c>
    </row>
    <row r="254" spans="1:16" s="16" customFormat="1" ht="48">
      <c r="A254" s="18" t="s">
        <v>666</v>
      </c>
      <c r="B254" s="10" t="s">
        <v>56</v>
      </c>
      <c r="C254" s="10">
        <v>94</v>
      </c>
      <c r="D254" s="10"/>
      <c r="E254" s="10" t="s">
        <v>11</v>
      </c>
      <c r="F254" s="10" t="s">
        <v>173</v>
      </c>
      <c r="G254" s="10">
        <v>16</v>
      </c>
      <c r="H254" s="10"/>
      <c r="I254" s="10"/>
      <c r="J254" s="10"/>
      <c r="K254" s="10">
        <v>13</v>
      </c>
      <c r="L254" s="10">
        <v>4</v>
      </c>
      <c r="M254" s="10" t="s">
        <v>218</v>
      </c>
      <c r="N254" s="10" t="s">
        <v>219</v>
      </c>
      <c r="O254" s="31"/>
      <c r="P254" s="10" t="str">
        <f>HYPERLINK("http://www.stromypodkontrolou.cz/map/?draw_selection_circle=1#%7B%22lat%22%3A%2049.6737062215063%2C%20%22lng%22%3A%2018.6693210484809%2C%20%22zoom%22%3A%2020%7D")</f>
        <v>http://www.stromypodkontrolou.cz/map/?draw_selection_circle=1#%7B%22lat%22%3A%2049.6737062215063%2C%20%22lng%22%3A%2018.6693210484809%2C%20%22zoom%22%3A%2020%7D</v>
      </c>
    </row>
    <row r="255" spans="1:16" ht="48">
      <c r="A255" s="19" t="s">
        <v>667</v>
      </c>
      <c r="B255" s="9" t="s">
        <v>56</v>
      </c>
      <c r="C255" s="9">
        <v>88</v>
      </c>
      <c r="D255" s="9"/>
      <c r="E255" s="9" t="s">
        <v>15</v>
      </c>
      <c r="F255" s="9" t="s">
        <v>183</v>
      </c>
      <c r="G255" s="9">
        <v>16</v>
      </c>
      <c r="H255" s="9"/>
      <c r="I255" s="9"/>
      <c r="J255" s="9"/>
      <c r="K255" s="9">
        <v>16</v>
      </c>
      <c r="L255" s="9">
        <v>5</v>
      </c>
      <c r="M255" s="9" t="s">
        <v>169</v>
      </c>
      <c r="N255" s="9" t="s">
        <v>170</v>
      </c>
      <c r="O255" s="31"/>
      <c r="P255" s="9" t="str">
        <f>HYPERLINK("http://www.stromypodkontrolou.cz/map/?draw_selection_circle=1#%7B%22lat%22%3A%2049.6738673105%2C%20%22lng%22%3A%2018.6693414673%2C%20%22zoom%22%3A%2020%7D")</f>
        <v>http://www.stromypodkontrolou.cz/map/?draw_selection_circle=1#%7B%22lat%22%3A%2049.6738673105%2C%20%22lng%22%3A%2018.6693414673%2C%20%22zoom%22%3A%2020%7D</v>
      </c>
    </row>
    <row r="256" spans="1:16" s="16" customFormat="1" ht="48">
      <c r="A256" s="18" t="s">
        <v>668</v>
      </c>
      <c r="B256" s="10" t="s">
        <v>56</v>
      </c>
      <c r="C256" s="10">
        <v>84</v>
      </c>
      <c r="D256" s="10"/>
      <c r="E256" s="10" t="s">
        <v>10</v>
      </c>
      <c r="F256" s="10" t="s">
        <v>165</v>
      </c>
      <c r="G256" s="10">
        <v>16</v>
      </c>
      <c r="H256" s="10"/>
      <c r="I256" s="10"/>
      <c r="J256" s="10"/>
      <c r="K256" s="10">
        <v>9</v>
      </c>
      <c r="L256" s="10">
        <v>5</v>
      </c>
      <c r="M256" s="10" t="s">
        <v>169</v>
      </c>
      <c r="N256" s="10" t="s">
        <v>170</v>
      </c>
      <c r="O256" s="31"/>
      <c r="P256" s="10" t="str">
        <f>HYPERLINK("http://www.stromypodkontrolou.cz/map/?draw_selection_circle=1#%7B%22lat%22%3A%2049.6739335378%2C%20%22lng%22%3A%2018.6693516397%2C%20%22zoom%22%3A%2020%7D")</f>
        <v>http://www.stromypodkontrolou.cz/map/?draw_selection_circle=1#%7B%22lat%22%3A%2049.6739335378%2C%20%22lng%22%3A%2018.6693516397%2C%20%22zoom%22%3A%2020%7D</v>
      </c>
    </row>
    <row r="257" spans="1:16" ht="48">
      <c r="A257" s="19" t="s">
        <v>669</v>
      </c>
      <c r="B257" s="9" t="s">
        <v>56</v>
      </c>
      <c r="C257" s="9">
        <v>79</v>
      </c>
      <c r="D257" s="9"/>
      <c r="E257" s="9" t="s">
        <v>11</v>
      </c>
      <c r="F257" s="9" t="s">
        <v>173</v>
      </c>
      <c r="G257" s="9">
        <v>7</v>
      </c>
      <c r="H257" s="9"/>
      <c r="I257" s="9"/>
      <c r="J257" s="9"/>
      <c r="K257" s="9">
        <v>6</v>
      </c>
      <c r="L257" s="9">
        <v>3</v>
      </c>
      <c r="M257" s="9" t="s">
        <v>169</v>
      </c>
      <c r="N257" s="9" t="s">
        <v>170</v>
      </c>
      <c r="O257" s="31"/>
      <c r="P257" s="9" t="str">
        <f>HYPERLINK("http://www.stromypodkontrolou.cz/map/?draw_selection_circle=1#%7B%22lat%22%3A%2049.6739719532607%2C%20%22lng%22%3A%2018.6693321633646%2C%20%22zoom%22%3A%2020%7D")</f>
        <v>http://www.stromypodkontrolou.cz/map/?draw_selection_circle=1#%7B%22lat%22%3A%2049.6739719532607%2C%20%22lng%22%3A%2018.6693321633646%2C%20%22zoom%22%3A%2020%7D</v>
      </c>
    </row>
    <row r="258" spans="1:16" s="16" customFormat="1" ht="48">
      <c r="A258" s="18" t="s">
        <v>670</v>
      </c>
      <c r="B258" s="10" t="s">
        <v>56</v>
      </c>
      <c r="C258" s="10">
        <v>74</v>
      </c>
      <c r="D258" s="10"/>
      <c r="E258" s="10" t="s">
        <v>23</v>
      </c>
      <c r="F258" s="10" t="s">
        <v>198</v>
      </c>
      <c r="G258" s="10">
        <v>23</v>
      </c>
      <c r="H258" s="10"/>
      <c r="I258" s="10"/>
      <c r="J258" s="10"/>
      <c r="K258" s="10">
        <v>13</v>
      </c>
      <c r="L258" s="10">
        <v>4</v>
      </c>
      <c r="M258" s="10" t="s">
        <v>218</v>
      </c>
      <c r="N258" s="10" t="s">
        <v>219</v>
      </c>
      <c r="O258" s="31"/>
      <c r="P258" s="10" t="str">
        <f>HYPERLINK("http://www.stromypodkontrolou.cz/map/?draw_selection_circle=1#%7B%22lat%22%3A%2049.6740526329241%2C%20%22lng%22%3A%2018.6693902341851%2C%20%22zoom%22%3A%2020%7D")</f>
        <v>http://www.stromypodkontrolou.cz/map/?draw_selection_circle=1#%7B%22lat%22%3A%2049.6740526329241%2C%20%22lng%22%3A%2018.6693902341851%2C%20%22zoom%22%3A%2020%7D</v>
      </c>
    </row>
    <row r="259" spans="1:16" ht="48">
      <c r="A259" s="4" t="s">
        <v>671</v>
      </c>
      <c r="B259" s="9" t="s">
        <v>56</v>
      </c>
      <c r="C259" s="9">
        <v>60</v>
      </c>
      <c r="D259" s="9"/>
      <c r="E259" s="9" t="s">
        <v>11</v>
      </c>
      <c r="F259" s="9" t="s">
        <v>173</v>
      </c>
      <c r="G259" s="9">
        <v>24</v>
      </c>
      <c r="H259" s="9"/>
      <c r="I259" s="9"/>
      <c r="J259" s="9"/>
      <c r="K259" s="9">
        <v>19</v>
      </c>
      <c r="L259" s="9">
        <v>6</v>
      </c>
      <c r="M259" s="9" t="s">
        <v>171</v>
      </c>
      <c r="N259" s="9" t="s">
        <v>172</v>
      </c>
      <c r="O259" s="31"/>
      <c r="P259" s="9" t="str">
        <f>HYPERLINK("http://www.stromypodkontrolou.cz/map/?draw_selection_circle=1#%7B%22lat%22%3A%2049.6739723784627%2C%20%22lng%22%3A%2018.6695456147303%2C%20%22zoom%22%3A%2020%7D")</f>
        <v>http://www.stromypodkontrolou.cz/map/?draw_selection_circle=1#%7B%22lat%22%3A%2049.6739723784627%2C%20%22lng%22%3A%2018.6695456147303%2C%20%22zoom%22%3A%2020%7D</v>
      </c>
    </row>
    <row r="260" spans="1:16" ht="12.75">
      <c r="A260" s="5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 t="s">
        <v>169</v>
      </c>
      <c r="N260" s="9" t="s">
        <v>170</v>
      </c>
      <c r="O260" s="31"/>
      <c r="P260" s="9"/>
    </row>
    <row r="261" spans="1:16" s="16" customFormat="1" ht="48">
      <c r="A261" s="15" t="s">
        <v>673</v>
      </c>
      <c r="B261" s="10" t="s">
        <v>56</v>
      </c>
      <c r="C261" s="10">
        <v>59</v>
      </c>
      <c r="D261" s="10"/>
      <c r="E261" s="10" t="s">
        <v>23</v>
      </c>
      <c r="F261" s="10" t="s">
        <v>198</v>
      </c>
      <c r="G261" s="10">
        <v>25</v>
      </c>
      <c r="H261" s="10">
        <v>22</v>
      </c>
      <c r="I261" s="10"/>
      <c r="J261" s="10"/>
      <c r="K261" s="10">
        <v>17</v>
      </c>
      <c r="L261" s="10">
        <v>7</v>
      </c>
      <c r="M261" s="10" t="s">
        <v>171</v>
      </c>
      <c r="N261" s="10" t="s">
        <v>172</v>
      </c>
      <c r="O261" s="31"/>
      <c r="P261" s="10" t="str">
        <f>HYPERLINK("http://www.stromypodkontrolou.cz/map/?draw_selection_circle=1#%7B%22lat%22%3A%2049.6739424430369%2C%20%22lng%22%3A%2018.6695898281873%2C%20%22zoom%22%3A%2020%7D")</f>
        <v>http://www.stromypodkontrolou.cz/map/?draw_selection_circle=1#%7B%22lat%22%3A%2049.6739424430369%2C%20%22lng%22%3A%2018.6695898281873%2C%20%22zoom%22%3A%2020%7D</v>
      </c>
    </row>
    <row r="262" spans="1:16" s="16" customFormat="1" ht="12.75">
      <c r="A262" s="2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 t="s">
        <v>218</v>
      </c>
      <c r="N262" s="10" t="s">
        <v>219</v>
      </c>
      <c r="O262" s="31"/>
      <c r="P262" s="10"/>
    </row>
    <row r="263" spans="1:16" ht="48">
      <c r="A263" s="4" t="s">
        <v>674</v>
      </c>
      <c r="B263" s="9" t="s">
        <v>56</v>
      </c>
      <c r="C263" s="9">
        <v>54</v>
      </c>
      <c r="D263" s="9"/>
      <c r="E263" s="9" t="s">
        <v>23</v>
      </c>
      <c r="F263" s="9" t="s">
        <v>198</v>
      </c>
      <c r="G263" s="9">
        <v>24</v>
      </c>
      <c r="H263" s="9">
        <v>22</v>
      </c>
      <c r="I263" s="9">
        <v>20</v>
      </c>
      <c r="J263" s="9">
        <v>20</v>
      </c>
      <c r="K263" s="9">
        <v>21</v>
      </c>
      <c r="L263" s="9">
        <v>8</v>
      </c>
      <c r="M263" s="9" t="s">
        <v>171</v>
      </c>
      <c r="N263" s="9" t="s">
        <v>172</v>
      </c>
      <c r="O263" s="31"/>
      <c r="P263" s="9" t="str">
        <f>HYPERLINK("http://www.stromypodkontrolou.cz/map/?draw_selection_circle=1#%7B%22lat%22%3A%2049.6738343750949%2C%20%22lng%22%3A%2018.6696474353016%2C%20%22zoom%22%3A%2020%7D")</f>
        <v>http://www.stromypodkontrolou.cz/map/?draw_selection_circle=1#%7B%22lat%22%3A%2049.6738343750949%2C%20%22lng%22%3A%2018.6696474353016%2C%20%22zoom%22%3A%2020%7D</v>
      </c>
    </row>
    <row r="264" spans="1:16" ht="12.75">
      <c r="A264" s="5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 t="s">
        <v>218</v>
      </c>
      <c r="N264" s="9" t="s">
        <v>219</v>
      </c>
      <c r="O264" s="31"/>
      <c r="P264" s="9"/>
    </row>
    <row r="265" spans="1:16" s="16" customFormat="1" ht="48">
      <c r="A265" s="15" t="s">
        <v>675</v>
      </c>
      <c r="B265" s="10" t="s">
        <v>22</v>
      </c>
      <c r="C265" s="10">
        <v>165</v>
      </c>
      <c r="D265" s="10"/>
      <c r="E265" s="10" t="s">
        <v>42</v>
      </c>
      <c r="F265" s="10" t="s">
        <v>241</v>
      </c>
      <c r="G265" s="10">
        <v>15</v>
      </c>
      <c r="H265" s="10"/>
      <c r="I265" s="10"/>
      <c r="J265" s="10"/>
      <c r="K265" s="10">
        <v>7</v>
      </c>
      <c r="L265" s="10">
        <v>5</v>
      </c>
      <c r="M265" s="10" t="s">
        <v>169</v>
      </c>
      <c r="N265" s="10" t="s">
        <v>170</v>
      </c>
      <c r="O265" s="31"/>
      <c r="P265" s="10" t="str">
        <f>HYPERLINK("http://www.stromypodkontrolou.cz/map/?draw_selection_circle=1#%7B%22lat%22%3A%2049.6706824220591%2C%20%22lng%22%3A%2018.6718018509149%2C%20%22zoom%22%3A%2020%7D")</f>
        <v>http://www.stromypodkontrolou.cz/map/?draw_selection_circle=1#%7B%22lat%22%3A%2049.6706824220591%2C%20%22lng%22%3A%2018.6718018509149%2C%20%22zoom%22%3A%2020%7D</v>
      </c>
    </row>
    <row r="266" spans="1:16" s="16" customFormat="1" ht="12.75">
      <c r="A266" s="2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 t="s">
        <v>171</v>
      </c>
      <c r="N266" s="10" t="s">
        <v>172</v>
      </c>
      <c r="O266" s="31"/>
      <c r="P266" s="10"/>
    </row>
    <row r="267" spans="1:16" ht="48">
      <c r="A267" s="4" t="s">
        <v>676</v>
      </c>
      <c r="B267" s="9" t="s">
        <v>22</v>
      </c>
      <c r="C267" s="9">
        <v>105</v>
      </c>
      <c r="D267" s="9"/>
      <c r="E267" s="9" t="s">
        <v>10</v>
      </c>
      <c r="F267" s="9" t="s">
        <v>165</v>
      </c>
      <c r="G267" s="9">
        <v>23</v>
      </c>
      <c r="H267" s="9"/>
      <c r="I267" s="9"/>
      <c r="J267" s="9"/>
      <c r="K267" s="9">
        <v>7</v>
      </c>
      <c r="L267" s="9">
        <v>6</v>
      </c>
      <c r="M267" s="9" t="s">
        <v>191</v>
      </c>
      <c r="N267" s="9" t="s">
        <v>192</v>
      </c>
      <c r="O267" s="31"/>
      <c r="P267" s="9" t="str">
        <f>HYPERLINK("http://www.stromypodkontrolou.cz/map/?draw_selection_circle=1#%7B%22lat%22%3A%2049.6704882281615%2C%20%22lng%22%3A%2018.6723347557922%2C%20%22zoom%22%3A%2020%7D")</f>
        <v>http://www.stromypodkontrolou.cz/map/?draw_selection_circle=1#%7B%22lat%22%3A%2049.6704882281615%2C%20%22lng%22%3A%2018.6723347557922%2C%20%22zoom%22%3A%2020%7D</v>
      </c>
    </row>
    <row r="268" spans="1:16" ht="12.75">
      <c r="A268" s="5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 t="s">
        <v>171</v>
      </c>
      <c r="N268" s="9" t="s">
        <v>172</v>
      </c>
      <c r="O268" s="31"/>
      <c r="P268" s="9"/>
    </row>
    <row r="269" spans="1:16" s="16" customFormat="1" ht="48">
      <c r="A269" s="15" t="s">
        <v>677</v>
      </c>
      <c r="B269" s="10" t="s">
        <v>81</v>
      </c>
      <c r="C269" s="10">
        <v>65</v>
      </c>
      <c r="D269" s="10"/>
      <c r="E269" s="10" t="s">
        <v>13</v>
      </c>
      <c r="F269" s="10" t="s">
        <v>175</v>
      </c>
      <c r="G269" s="10">
        <v>24</v>
      </c>
      <c r="H269" s="10"/>
      <c r="I269" s="10"/>
      <c r="J269" s="10"/>
      <c r="K269" s="10">
        <v>15</v>
      </c>
      <c r="L269" s="10">
        <v>6</v>
      </c>
      <c r="M269" s="10" t="s">
        <v>191</v>
      </c>
      <c r="N269" s="10" t="s">
        <v>192</v>
      </c>
      <c r="O269" s="31"/>
      <c r="P269" s="10" t="str">
        <f>HYPERLINK("http://www.stromypodkontrolou.cz/map/?draw_selection_circle=1#%7B%22lat%22%3A%2049.6690774172596%2C%20%22lng%22%3A%2018.6729946778118%2C%20%22zoom%22%3A%2020%7D")</f>
        <v>http://www.stromypodkontrolou.cz/map/?draw_selection_circle=1#%7B%22lat%22%3A%2049.6690774172596%2C%20%22lng%22%3A%2018.6729946778118%2C%20%22zoom%22%3A%2020%7D</v>
      </c>
    </row>
    <row r="270" spans="1:16" s="16" customFormat="1" ht="12.75">
      <c r="A270" s="2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 t="s">
        <v>171</v>
      </c>
      <c r="N270" s="10" t="s">
        <v>172</v>
      </c>
      <c r="O270" s="31"/>
      <c r="P270" s="10"/>
    </row>
    <row r="271" spans="1:16" ht="48">
      <c r="A271" s="4" t="s">
        <v>678</v>
      </c>
      <c r="B271" s="9" t="s">
        <v>26</v>
      </c>
      <c r="C271" s="9">
        <v>144</v>
      </c>
      <c r="D271" s="9"/>
      <c r="E271" s="9" t="s">
        <v>112</v>
      </c>
      <c r="F271" s="9" t="s">
        <v>376</v>
      </c>
      <c r="G271" s="9">
        <v>10</v>
      </c>
      <c r="H271" s="9"/>
      <c r="I271" s="9"/>
      <c r="J271" s="9"/>
      <c r="K271" s="9">
        <v>5</v>
      </c>
      <c r="L271" s="9">
        <v>5</v>
      </c>
      <c r="M271" s="9" t="s">
        <v>171</v>
      </c>
      <c r="N271" s="9" t="s">
        <v>172</v>
      </c>
      <c r="O271" s="31"/>
      <c r="P271" s="9" t="str">
        <f>HYPERLINK("http://www.stromypodkontrolou.cz/map/?draw_selection_circle=1#%7B%22lat%22%3A%2049.6655519441729%2C%20%22lng%22%3A%2018.6754693538287%2C%20%22zoom%22%3A%2020%7D")</f>
        <v>http://www.stromypodkontrolou.cz/map/?draw_selection_circle=1#%7B%22lat%22%3A%2049.6655519441729%2C%20%22lng%22%3A%2018.6754693538287%2C%20%22zoom%22%3A%2020%7D</v>
      </c>
    </row>
    <row r="272" spans="1:16" ht="12.75">
      <c r="A272" s="5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 t="s">
        <v>169</v>
      </c>
      <c r="N272" s="9" t="s">
        <v>170</v>
      </c>
      <c r="O272" s="31"/>
      <c r="P272" s="9"/>
    </row>
    <row r="273" spans="1:16" s="16" customFormat="1" ht="48">
      <c r="A273" s="15" t="s">
        <v>679</v>
      </c>
      <c r="B273" s="10" t="s">
        <v>25</v>
      </c>
      <c r="C273" s="10">
        <v>70</v>
      </c>
      <c r="D273" s="10"/>
      <c r="E273" s="10" t="s">
        <v>104</v>
      </c>
      <c r="F273" s="10" t="s">
        <v>344</v>
      </c>
      <c r="G273" s="10">
        <v>34</v>
      </c>
      <c r="H273" s="10"/>
      <c r="I273" s="10"/>
      <c r="J273" s="10"/>
      <c r="K273" s="10">
        <v>7</v>
      </c>
      <c r="L273" s="10">
        <v>3</v>
      </c>
      <c r="M273" s="10" t="s">
        <v>169</v>
      </c>
      <c r="N273" s="10" t="s">
        <v>170</v>
      </c>
      <c r="O273" s="31"/>
      <c r="P273" s="10" t="str">
        <f>HYPERLINK("http://www.stromypodkontrolou.cz/map/?draw_selection_circle=1#%7B%22lat%22%3A%2049.6635793842%2C%20%22lng%22%3A%2018.6723121265%2C%20%22zoom%22%3A%2020%7D")</f>
        <v>http://www.stromypodkontrolou.cz/map/?draw_selection_circle=1#%7B%22lat%22%3A%2049.6635793842%2C%20%22lng%22%3A%2018.6723121265%2C%20%22zoom%22%3A%2020%7D</v>
      </c>
    </row>
    <row r="274" spans="1:16" s="16" customFormat="1" ht="12.75">
      <c r="A274" s="2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 t="s">
        <v>171</v>
      </c>
      <c r="N274" s="10" t="s">
        <v>172</v>
      </c>
      <c r="O274" s="31"/>
      <c r="P274" s="10"/>
    </row>
    <row r="275" spans="1:16" ht="48">
      <c r="A275" s="4" t="s">
        <v>680</v>
      </c>
      <c r="B275" s="9" t="s">
        <v>25</v>
      </c>
      <c r="C275" s="9">
        <v>71</v>
      </c>
      <c r="D275" s="9"/>
      <c r="E275" s="9" t="s">
        <v>57</v>
      </c>
      <c r="F275" s="9" t="s">
        <v>261</v>
      </c>
      <c r="G275" s="9">
        <v>15</v>
      </c>
      <c r="H275" s="9">
        <v>10</v>
      </c>
      <c r="I275" s="9"/>
      <c r="J275" s="9"/>
      <c r="K275" s="9">
        <v>10</v>
      </c>
      <c r="L275" s="9">
        <v>6</v>
      </c>
      <c r="M275" s="9" t="s">
        <v>218</v>
      </c>
      <c r="N275" s="9" t="s">
        <v>219</v>
      </c>
      <c r="O275" s="31"/>
      <c r="P275" s="9" t="str">
        <f>HYPERLINK("http://www.stromypodkontrolou.cz/map/?draw_selection_circle=1#%7B%22lat%22%3A%2049.6636337635732%2C%20%22lng%22%3A%2018.6723237962887%2C%20%22zoom%22%3A%2020%7D")</f>
        <v>http://www.stromypodkontrolou.cz/map/?draw_selection_circle=1#%7B%22lat%22%3A%2049.6636337635732%2C%20%22lng%22%3A%2018.6723237962887%2C%20%22zoom%22%3A%2020%7D</v>
      </c>
    </row>
    <row r="276" spans="1:16" ht="12.75">
      <c r="A276" s="5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 t="s">
        <v>171</v>
      </c>
      <c r="N276" s="9" t="s">
        <v>172</v>
      </c>
      <c r="O276" s="31"/>
      <c r="P276" s="9"/>
    </row>
    <row r="277" spans="1:16" s="16" customFormat="1" ht="48">
      <c r="A277" s="15" t="s">
        <v>681</v>
      </c>
      <c r="B277" s="10" t="s">
        <v>73</v>
      </c>
      <c r="C277" s="10">
        <v>18</v>
      </c>
      <c r="D277" s="10"/>
      <c r="E277" s="10" t="s">
        <v>46</v>
      </c>
      <c r="F277" s="10" t="s">
        <v>248</v>
      </c>
      <c r="G277" s="10">
        <v>10</v>
      </c>
      <c r="H277" s="10"/>
      <c r="I277" s="10"/>
      <c r="J277" s="10"/>
      <c r="K277" s="10">
        <v>6</v>
      </c>
      <c r="L277" s="10">
        <v>2</v>
      </c>
      <c r="M277" s="10" t="s">
        <v>169</v>
      </c>
      <c r="N277" s="10" t="s">
        <v>170</v>
      </c>
      <c r="O277" s="31"/>
      <c r="P277" s="10" t="str">
        <f>HYPERLINK("http://www.stromypodkontrolou.cz/map/?draw_selection_circle=1#%7B%22lat%22%3A%2049.6651871708%2C%20%22lng%22%3A%2018.6772845001%2C%20%22zoom%22%3A%2020%7D")</f>
        <v>http://www.stromypodkontrolou.cz/map/?draw_selection_circle=1#%7B%22lat%22%3A%2049.6651871708%2C%20%22lng%22%3A%2018.6772845001%2C%20%22zoom%22%3A%2020%7D</v>
      </c>
    </row>
    <row r="278" spans="1:16" s="16" customFormat="1" ht="12.75">
      <c r="A278" s="2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 t="s">
        <v>171</v>
      </c>
      <c r="N278" s="10" t="s">
        <v>172</v>
      </c>
      <c r="O278" s="31"/>
      <c r="P278" s="10"/>
    </row>
    <row r="279" spans="1:16" ht="48">
      <c r="A279" s="4" t="s">
        <v>682</v>
      </c>
      <c r="B279" s="9" t="s">
        <v>73</v>
      </c>
      <c r="C279" s="9">
        <v>16</v>
      </c>
      <c r="D279" s="9"/>
      <c r="E279" s="9" t="s">
        <v>46</v>
      </c>
      <c r="F279" s="9" t="s">
        <v>248</v>
      </c>
      <c r="G279" s="9">
        <v>11</v>
      </c>
      <c r="H279" s="9"/>
      <c r="I279" s="9"/>
      <c r="J279" s="9"/>
      <c r="K279" s="9">
        <v>7</v>
      </c>
      <c r="L279" s="9">
        <v>2</v>
      </c>
      <c r="M279" s="9" t="s">
        <v>169</v>
      </c>
      <c r="N279" s="9" t="s">
        <v>170</v>
      </c>
      <c r="O279" s="31"/>
      <c r="P279" s="9" t="str">
        <f>HYPERLINK("http://www.stromypodkontrolou.cz/map/?draw_selection_circle=1#%7B%22lat%22%3A%2049.6652137402%2C%20%22lng%22%3A%2018.6772443978%2C%20%22zoom%22%3A%2020%7D")</f>
        <v>http://www.stromypodkontrolou.cz/map/?draw_selection_circle=1#%7B%22lat%22%3A%2049.6652137402%2C%20%22lng%22%3A%2018.6772443978%2C%20%22zoom%22%3A%2020%7D</v>
      </c>
    </row>
    <row r="280" spans="1:16" ht="12.75">
      <c r="A280" s="5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 t="s">
        <v>171</v>
      </c>
      <c r="N280" s="9" t="s">
        <v>172</v>
      </c>
      <c r="O280" s="31"/>
      <c r="P280" s="9"/>
    </row>
    <row r="281" spans="1:16" s="16" customFormat="1" ht="48">
      <c r="A281" s="15" t="s">
        <v>683</v>
      </c>
      <c r="B281" s="10" t="s">
        <v>73</v>
      </c>
      <c r="C281" s="10">
        <v>51</v>
      </c>
      <c r="D281" s="10"/>
      <c r="E281" s="10" t="s">
        <v>72</v>
      </c>
      <c r="F281" s="10" t="s">
        <v>292</v>
      </c>
      <c r="G281" s="10">
        <v>28</v>
      </c>
      <c r="H281" s="10"/>
      <c r="I281" s="10"/>
      <c r="J281" s="10"/>
      <c r="K281" s="10">
        <v>14</v>
      </c>
      <c r="L281" s="10">
        <v>5</v>
      </c>
      <c r="M281" s="10" t="s">
        <v>169</v>
      </c>
      <c r="N281" s="10" t="s">
        <v>170</v>
      </c>
      <c r="O281" s="31"/>
      <c r="P281" s="10" t="str">
        <f>HYPERLINK("http://www.stromypodkontrolou.cz/map/?draw_selection_circle=1#%7B%22lat%22%3A%2049.6648480747024%2C%20%22lng%22%3A%2018.6772566779716%2C%20%22zoom%22%3A%2020%7D")</f>
        <v>http://www.stromypodkontrolou.cz/map/?draw_selection_circle=1#%7B%22lat%22%3A%2049.6648480747024%2C%20%22lng%22%3A%2018.6772566779716%2C%20%22zoom%22%3A%2020%7D</v>
      </c>
    </row>
    <row r="282" spans="1:16" s="16" customFormat="1" ht="12.75">
      <c r="A282" s="2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 t="s">
        <v>171</v>
      </c>
      <c r="N282" s="10" t="s">
        <v>172</v>
      </c>
      <c r="O282" s="31"/>
      <c r="P282" s="10"/>
    </row>
    <row r="283" spans="1:16" ht="48">
      <c r="A283" s="4" t="s">
        <v>684</v>
      </c>
      <c r="B283" s="9" t="s">
        <v>73</v>
      </c>
      <c r="C283" s="9">
        <v>255</v>
      </c>
      <c r="D283" s="9"/>
      <c r="E283" s="9" t="s">
        <v>113</v>
      </c>
      <c r="F283" s="9" t="s">
        <v>380</v>
      </c>
      <c r="G283" s="9">
        <v>15</v>
      </c>
      <c r="H283" s="9">
        <v>12</v>
      </c>
      <c r="I283" s="9"/>
      <c r="J283" s="9"/>
      <c r="K283" s="9">
        <v>4</v>
      </c>
      <c r="L283" s="9">
        <v>5</v>
      </c>
      <c r="M283" s="9" t="s">
        <v>169</v>
      </c>
      <c r="N283" s="9" t="s">
        <v>170</v>
      </c>
      <c r="O283" s="31"/>
      <c r="P283" s="9" t="str">
        <f>HYPERLINK("http://www.stromypodkontrolou.cz/map/?draw_selection_circle=1#%7B%22lat%22%3A%2049.6635828222364%2C%20%22lng%22%3A%2018.6793620883311%2C%20%22zoom%22%3A%2020%7D")</f>
        <v>http://www.stromypodkontrolou.cz/map/?draw_selection_circle=1#%7B%22lat%22%3A%2049.6635828222364%2C%20%22lng%22%3A%2018.6793620883311%2C%20%22zoom%22%3A%2020%7D</v>
      </c>
    </row>
    <row r="284" spans="1:16" ht="12.75">
      <c r="A284" s="5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 t="s">
        <v>171</v>
      </c>
      <c r="N284" s="9" t="s">
        <v>172</v>
      </c>
      <c r="O284" s="31"/>
      <c r="P284" s="9"/>
    </row>
    <row r="285" spans="1:16" s="16" customFormat="1" ht="48">
      <c r="A285" s="15" t="s">
        <v>685</v>
      </c>
      <c r="B285" s="10" t="s">
        <v>73</v>
      </c>
      <c r="C285" s="10">
        <v>237</v>
      </c>
      <c r="D285" s="10"/>
      <c r="E285" s="10" t="s">
        <v>114</v>
      </c>
      <c r="F285" s="10" t="s">
        <v>381</v>
      </c>
      <c r="G285" s="10">
        <v>34</v>
      </c>
      <c r="H285" s="10"/>
      <c r="I285" s="10"/>
      <c r="J285" s="10"/>
      <c r="K285" s="10">
        <v>7</v>
      </c>
      <c r="L285" s="10">
        <v>7</v>
      </c>
      <c r="M285" s="10" t="s">
        <v>169</v>
      </c>
      <c r="N285" s="10" t="s">
        <v>170</v>
      </c>
      <c r="O285" s="31"/>
      <c r="P285" s="10" t="str">
        <f>HYPERLINK("http://www.stromypodkontrolou.cz/map/?draw_selection_circle=1#%7B%22lat%22%3A%2049.6636037193%2C%20%22lng%22%3A%2018.6794580432%2C%20%22zoom%22%3A%2020%7D")</f>
        <v>http://www.stromypodkontrolou.cz/map/?draw_selection_circle=1#%7B%22lat%22%3A%2049.6636037193%2C%20%22lng%22%3A%2018.6794580432%2C%20%22zoom%22%3A%2020%7D</v>
      </c>
    </row>
    <row r="286" spans="1:16" s="16" customFormat="1" ht="12.75">
      <c r="A286" s="2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 t="s">
        <v>171</v>
      </c>
      <c r="N286" s="10" t="s">
        <v>172</v>
      </c>
      <c r="O286" s="31"/>
      <c r="P286" s="10"/>
    </row>
    <row r="287" spans="1:16" ht="48">
      <c r="A287" s="4" t="s">
        <v>686</v>
      </c>
      <c r="B287" s="9" t="s">
        <v>38</v>
      </c>
      <c r="C287" s="9">
        <v>244</v>
      </c>
      <c r="D287" s="9"/>
      <c r="E287" s="9" t="s">
        <v>27</v>
      </c>
      <c r="F287" s="9" t="s">
        <v>204</v>
      </c>
      <c r="G287" s="9">
        <v>18</v>
      </c>
      <c r="H287" s="9">
        <v>15</v>
      </c>
      <c r="I287" s="9"/>
      <c r="J287" s="9"/>
      <c r="K287" s="9">
        <v>10</v>
      </c>
      <c r="L287" s="9">
        <v>5</v>
      </c>
      <c r="M287" s="9" t="s">
        <v>218</v>
      </c>
      <c r="N287" s="9" t="s">
        <v>219</v>
      </c>
      <c r="O287" s="31"/>
      <c r="P287" s="9" t="str">
        <f>HYPERLINK("http://www.stromypodkontrolou.cz/map/?draw_selection_circle=1#%7B%22lat%22%3A%2049.6628331455423%2C%20%22lng%22%3A%2018.6817228320606%2C%20%22zoom%22%3A%2020%7D")</f>
        <v>http://www.stromypodkontrolou.cz/map/?draw_selection_circle=1#%7B%22lat%22%3A%2049.6628331455423%2C%20%22lng%22%3A%2018.6817228320606%2C%20%22zoom%22%3A%2020%7D</v>
      </c>
    </row>
    <row r="288" spans="1:16" ht="12.75">
      <c r="A288" s="5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 t="s">
        <v>171</v>
      </c>
      <c r="N288" s="9" t="s">
        <v>172</v>
      </c>
      <c r="O288" s="31"/>
      <c r="P288" s="9"/>
    </row>
    <row r="289" spans="1:16" s="16" customFormat="1" ht="48">
      <c r="A289" s="15" t="s">
        <v>687</v>
      </c>
      <c r="B289" s="10" t="s">
        <v>38</v>
      </c>
      <c r="C289" s="10">
        <v>274</v>
      </c>
      <c r="D289" s="10"/>
      <c r="E289" s="10" t="s">
        <v>112</v>
      </c>
      <c r="F289" s="10" t="s">
        <v>376</v>
      </c>
      <c r="G289" s="10">
        <v>28</v>
      </c>
      <c r="H289" s="10"/>
      <c r="I289" s="10"/>
      <c r="J289" s="10"/>
      <c r="K289" s="10">
        <v>8</v>
      </c>
      <c r="L289" s="10">
        <v>7</v>
      </c>
      <c r="M289" s="10" t="s">
        <v>169</v>
      </c>
      <c r="N289" s="10" t="s">
        <v>170</v>
      </c>
      <c r="O289" s="31"/>
      <c r="P289" s="10" t="str">
        <f>HYPERLINK("http://www.stromypodkontrolou.cz/map/?draw_selection_circle=1#%7B%22lat%22%3A%2049.6627944140655%2C%20%22lng%22%3A%2018.6816749935087%2C%20%22zoom%22%3A%2020%7D")</f>
        <v>http://www.stromypodkontrolou.cz/map/?draw_selection_circle=1#%7B%22lat%22%3A%2049.6627944140655%2C%20%22lng%22%3A%2018.6816749935087%2C%20%22zoom%22%3A%2020%7D</v>
      </c>
    </row>
    <row r="290" spans="1:16" s="16" customFormat="1" ht="12.75">
      <c r="A290" s="2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 t="s">
        <v>171</v>
      </c>
      <c r="N290" s="10" t="s">
        <v>172</v>
      </c>
      <c r="O290" s="31"/>
      <c r="P290" s="10"/>
    </row>
    <row r="291" spans="1:16" ht="48">
      <c r="A291" s="4" t="s">
        <v>688</v>
      </c>
      <c r="B291" s="9" t="s">
        <v>66</v>
      </c>
      <c r="C291" s="9">
        <v>49</v>
      </c>
      <c r="D291" s="9"/>
      <c r="E291" s="9" t="s">
        <v>72</v>
      </c>
      <c r="F291" s="9" t="s">
        <v>292</v>
      </c>
      <c r="G291" s="9">
        <v>23</v>
      </c>
      <c r="H291" s="9"/>
      <c r="I291" s="9"/>
      <c r="J291" s="9"/>
      <c r="K291" s="9">
        <v>12</v>
      </c>
      <c r="L291" s="9">
        <v>6</v>
      </c>
      <c r="M291" s="9" t="s">
        <v>169</v>
      </c>
      <c r="N291" s="9" t="s">
        <v>170</v>
      </c>
      <c r="O291" s="31"/>
      <c r="P291" s="9" t="str">
        <f>HYPERLINK("http://www.stromypodkontrolou.cz/map/?draw_selection_circle=1#%7B%22lat%22%3A%2049.6642406779343%2C%20%22lng%22%3A%2018.6816013479332%2C%20%22zoom%22%3A%2020%7D")</f>
        <v>http://www.stromypodkontrolou.cz/map/?draw_selection_circle=1#%7B%22lat%22%3A%2049.6642406779343%2C%20%22lng%22%3A%2018.6816013479332%2C%20%22zoom%22%3A%2020%7D</v>
      </c>
    </row>
    <row r="292" spans="1:16" ht="12.75">
      <c r="A292" s="5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 t="s">
        <v>171</v>
      </c>
      <c r="N292" s="9" t="s">
        <v>172</v>
      </c>
      <c r="O292" s="31"/>
      <c r="P292" s="9"/>
    </row>
    <row r="293" spans="1:16" s="16" customFormat="1" ht="48">
      <c r="A293" s="18" t="s">
        <v>689</v>
      </c>
      <c r="B293" s="10" t="s">
        <v>66</v>
      </c>
      <c r="C293" s="10">
        <v>109</v>
      </c>
      <c r="D293" s="10"/>
      <c r="E293" s="10" t="s">
        <v>41</v>
      </c>
      <c r="F293" s="10" t="s">
        <v>238</v>
      </c>
      <c r="G293" s="10">
        <v>25</v>
      </c>
      <c r="H293" s="10">
        <v>23</v>
      </c>
      <c r="I293" s="10"/>
      <c r="J293" s="10"/>
      <c r="K293" s="10">
        <v>14</v>
      </c>
      <c r="L293" s="10">
        <v>6</v>
      </c>
      <c r="M293" s="10" t="s">
        <v>169</v>
      </c>
      <c r="N293" s="10" t="s">
        <v>170</v>
      </c>
      <c r="O293" s="31"/>
      <c r="P293" s="10" t="str">
        <f>HYPERLINK("http://www.stromypodkontrolou.cz/map/?draw_selection_circle=1#%7B%22lat%22%3A%2049.6645611689%2C%20%22lng%22%3A%2018.6823501885%2C%20%22zoom%22%3A%2020%7D")</f>
        <v>http://www.stromypodkontrolou.cz/map/?draw_selection_circle=1#%7B%22lat%22%3A%2049.6645611689%2C%20%22lng%22%3A%2018.6823501885%2C%20%22zoom%22%3A%2020%7D</v>
      </c>
    </row>
    <row r="294" spans="1:16" ht="48">
      <c r="A294" s="4" t="s">
        <v>690</v>
      </c>
      <c r="B294" s="9" t="s">
        <v>115</v>
      </c>
      <c r="C294" s="9">
        <v>100</v>
      </c>
      <c r="D294" s="9"/>
      <c r="E294" s="9" t="s">
        <v>13</v>
      </c>
      <c r="F294" s="9" t="s">
        <v>175</v>
      </c>
      <c r="G294" s="9">
        <v>15</v>
      </c>
      <c r="H294" s="9">
        <v>14</v>
      </c>
      <c r="I294" s="9"/>
      <c r="J294" s="9"/>
      <c r="K294" s="9">
        <v>8</v>
      </c>
      <c r="L294" s="9">
        <v>4</v>
      </c>
      <c r="M294" s="9" t="s">
        <v>171</v>
      </c>
      <c r="N294" s="9" t="s">
        <v>172</v>
      </c>
      <c r="O294" s="31"/>
      <c r="P294" s="9" t="str">
        <f>HYPERLINK("http://www.stromypodkontrolou.cz/map/?draw_selection_circle=1#%7B%22lat%22%3A%2049.6677801824092%2C%20%22lng%22%3A%2018.6818849736358%2C%20%22zoom%22%3A%2020%7D")</f>
        <v>http://www.stromypodkontrolou.cz/map/?draw_selection_circle=1#%7B%22lat%22%3A%2049.6677801824092%2C%20%22lng%22%3A%2018.6818849736358%2C%20%22zoom%22%3A%2020%7D</v>
      </c>
    </row>
    <row r="295" spans="1:16" ht="12.75">
      <c r="A295" s="5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 t="s">
        <v>169</v>
      </c>
      <c r="N295" s="9" t="s">
        <v>170</v>
      </c>
      <c r="O295" s="31"/>
      <c r="P295" s="9"/>
    </row>
    <row r="296" spans="1:16" s="16" customFormat="1" ht="48">
      <c r="A296" s="15" t="s">
        <v>691</v>
      </c>
      <c r="B296" s="10" t="s">
        <v>63</v>
      </c>
      <c r="C296" s="10">
        <v>311</v>
      </c>
      <c r="D296" s="10"/>
      <c r="E296" s="10" t="s">
        <v>24</v>
      </c>
      <c r="F296" s="10" t="s">
        <v>200</v>
      </c>
      <c r="G296" s="10">
        <v>22</v>
      </c>
      <c r="H296" s="10"/>
      <c r="I296" s="10"/>
      <c r="J296" s="10"/>
      <c r="K296" s="10">
        <v>17</v>
      </c>
      <c r="L296" s="10">
        <v>7</v>
      </c>
      <c r="M296" s="10" t="s">
        <v>191</v>
      </c>
      <c r="N296" s="10" t="s">
        <v>192</v>
      </c>
      <c r="O296" s="31"/>
      <c r="P296" s="10" t="str">
        <f>HYPERLINK("http://www.stromypodkontrolou.cz/map/?draw_selection_circle=1#%7B%22lat%22%3A%2049.669162972071%2C%20%22lng%22%3A%2018.6818171125559%2C%20%22zoom%22%3A%2020%7D")</f>
        <v>http://www.stromypodkontrolou.cz/map/?draw_selection_circle=1#%7B%22lat%22%3A%2049.669162972071%2C%20%22lng%22%3A%2018.6818171125559%2C%20%22zoom%22%3A%2020%7D</v>
      </c>
    </row>
    <row r="297" spans="1:16" s="16" customFormat="1" ht="12.75">
      <c r="A297" s="2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 t="s">
        <v>171</v>
      </c>
      <c r="N297" s="10" t="s">
        <v>172</v>
      </c>
      <c r="O297" s="31"/>
      <c r="P297" s="10"/>
    </row>
    <row r="298" spans="1:16" ht="48">
      <c r="A298" s="4" t="s">
        <v>692</v>
      </c>
      <c r="B298" s="9" t="s">
        <v>63</v>
      </c>
      <c r="C298" s="9">
        <v>93</v>
      </c>
      <c r="D298" s="9"/>
      <c r="E298" s="9" t="s">
        <v>11</v>
      </c>
      <c r="F298" s="9" t="s">
        <v>173</v>
      </c>
      <c r="G298" s="9">
        <v>10</v>
      </c>
      <c r="H298" s="9"/>
      <c r="I298" s="9"/>
      <c r="J298" s="9"/>
      <c r="K298" s="9">
        <v>8</v>
      </c>
      <c r="L298" s="9">
        <v>3</v>
      </c>
      <c r="M298" s="9" t="s">
        <v>169</v>
      </c>
      <c r="N298" s="9" t="s">
        <v>170</v>
      </c>
      <c r="O298" s="31"/>
      <c r="P298" s="9" t="str">
        <f>HYPERLINK("http://www.stromypodkontrolou.cz/map/?draw_selection_circle=1#%7B%22lat%22%3A%2049.6692431472989%2C%20%22lng%22%3A%2018.681659938646%2C%20%22zoom%22%3A%2020%7D")</f>
        <v>http://www.stromypodkontrolou.cz/map/?draw_selection_circle=1#%7B%22lat%22%3A%2049.6692431472989%2C%20%22lng%22%3A%2018.681659938646%2C%20%22zoom%22%3A%2020%7D</v>
      </c>
    </row>
    <row r="299" spans="1:16" ht="12.75">
      <c r="A299" s="5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 t="s">
        <v>171</v>
      </c>
      <c r="N299" s="9" t="s">
        <v>172</v>
      </c>
      <c r="O299" s="31"/>
      <c r="P299" s="9"/>
    </row>
    <row r="300" spans="1:16" s="16" customFormat="1" ht="48">
      <c r="A300" s="15" t="s">
        <v>672</v>
      </c>
      <c r="B300" s="10" t="s">
        <v>63</v>
      </c>
      <c r="C300" s="10">
        <v>94</v>
      </c>
      <c r="D300" s="10"/>
      <c r="E300" s="10" t="s">
        <v>11</v>
      </c>
      <c r="F300" s="10" t="s">
        <v>173</v>
      </c>
      <c r="G300" s="10">
        <v>10</v>
      </c>
      <c r="H300" s="10"/>
      <c r="I300" s="10"/>
      <c r="J300" s="10"/>
      <c r="K300" s="10">
        <v>8</v>
      </c>
      <c r="L300" s="10">
        <v>4</v>
      </c>
      <c r="M300" s="10" t="s">
        <v>171</v>
      </c>
      <c r="N300" s="10" t="s">
        <v>172</v>
      </c>
      <c r="O300" s="31"/>
      <c r="P300" s="10" t="str">
        <f>HYPERLINK("http://www.stromypodkontrolou.cz/map/?draw_selection_circle=1#%7B%22lat%22%3A%2049.6692802078%2C%20%22lng%22%3A%2018.6816148534%2C%20%22zoom%22%3A%2020%7D")</f>
        <v>http://www.stromypodkontrolou.cz/map/?draw_selection_circle=1#%7B%22lat%22%3A%2049.6692802078%2C%20%22lng%22%3A%2018.6816148534%2C%20%22zoom%22%3A%2020%7D</v>
      </c>
    </row>
    <row r="301" spans="1:16" s="16" customFormat="1" ht="12.75">
      <c r="A301" s="2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 t="s">
        <v>169</v>
      </c>
      <c r="N301" s="10" t="s">
        <v>170</v>
      </c>
      <c r="O301" s="31"/>
      <c r="P301" s="10"/>
    </row>
    <row r="302" spans="1:16" ht="48">
      <c r="A302" s="4" t="s">
        <v>693</v>
      </c>
      <c r="B302" s="9" t="s">
        <v>63</v>
      </c>
      <c r="C302" s="9">
        <v>95</v>
      </c>
      <c r="D302" s="9"/>
      <c r="E302" s="9" t="s">
        <v>11</v>
      </c>
      <c r="F302" s="9" t="s">
        <v>173</v>
      </c>
      <c r="G302" s="9">
        <v>10</v>
      </c>
      <c r="H302" s="9"/>
      <c r="I302" s="9"/>
      <c r="J302" s="9"/>
      <c r="K302" s="9">
        <v>7</v>
      </c>
      <c r="L302" s="9">
        <v>3</v>
      </c>
      <c r="M302" s="9" t="s">
        <v>171</v>
      </c>
      <c r="N302" s="9" t="s">
        <v>172</v>
      </c>
      <c r="O302" s="31"/>
      <c r="P302" s="9" t="str">
        <f>HYPERLINK("http://www.stromypodkontrolou.cz/map/?draw_selection_circle=1#%7B%22lat%22%3A%2049.6693096298%2C%20%22lng%22%3A%2018.6815835981%2C%20%22zoom%22%3A%2020%7D")</f>
        <v>http://www.stromypodkontrolou.cz/map/?draw_selection_circle=1#%7B%22lat%22%3A%2049.6693096298%2C%20%22lng%22%3A%2018.6815835981%2C%20%22zoom%22%3A%2020%7D</v>
      </c>
    </row>
    <row r="303" spans="1:16" ht="12.75">
      <c r="A303" s="5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 t="s">
        <v>169</v>
      </c>
      <c r="N303" s="9" t="s">
        <v>170</v>
      </c>
      <c r="O303" s="31"/>
      <c r="P303" s="9"/>
    </row>
    <row r="304" spans="1:16" s="16" customFormat="1" ht="48">
      <c r="A304" s="15" t="s">
        <v>694</v>
      </c>
      <c r="B304" s="10" t="s">
        <v>63</v>
      </c>
      <c r="C304" s="10">
        <v>411</v>
      </c>
      <c r="D304" s="10"/>
      <c r="E304" s="10" t="s">
        <v>11</v>
      </c>
      <c r="F304" s="10" t="s">
        <v>173</v>
      </c>
      <c r="G304" s="10">
        <v>34</v>
      </c>
      <c r="H304" s="10"/>
      <c r="I304" s="10"/>
      <c r="J304" s="10"/>
      <c r="K304" s="10">
        <v>22</v>
      </c>
      <c r="L304" s="10">
        <v>8</v>
      </c>
      <c r="M304" s="10" t="s">
        <v>191</v>
      </c>
      <c r="N304" s="10" t="s">
        <v>192</v>
      </c>
      <c r="O304" s="31"/>
      <c r="P304" s="10" t="str">
        <f>HYPERLINK("http://www.stromypodkontrolou.cz/map/?draw_selection_circle=1#%7B%22lat%22%3A%2049.6670039277148%2C%20%22lng%22%3A%2018.6843192998403%2C%20%22zoom%22%3A%2020%7D")</f>
        <v>http://www.stromypodkontrolou.cz/map/?draw_selection_circle=1#%7B%22lat%22%3A%2049.6670039277148%2C%20%22lng%22%3A%2018.6843192998403%2C%20%22zoom%22%3A%2020%7D</v>
      </c>
    </row>
    <row r="305" spans="1:16" s="16" customFormat="1" ht="12.75">
      <c r="A305" s="2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 t="s">
        <v>171</v>
      </c>
      <c r="N305" s="10" t="s">
        <v>172</v>
      </c>
      <c r="O305" s="31"/>
      <c r="P305" s="10"/>
    </row>
    <row r="306" spans="1:16" ht="48">
      <c r="A306" s="4" t="s">
        <v>695</v>
      </c>
      <c r="B306" s="9" t="s">
        <v>116</v>
      </c>
      <c r="C306" s="9">
        <v>129</v>
      </c>
      <c r="D306" s="9"/>
      <c r="E306" s="9" t="s">
        <v>13</v>
      </c>
      <c r="F306" s="9" t="s">
        <v>175</v>
      </c>
      <c r="G306" s="9">
        <v>10</v>
      </c>
      <c r="H306" s="9"/>
      <c r="I306" s="9"/>
      <c r="J306" s="9"/>
      <c r="K306" s="9">
        <v>8</v>
      </c>
      <c r="L306" s="9">
        <v>2</v>
      </c>
      <c r="M306" s="9" t="s">
        <v>169</v>
      </c>
      <c r="N306" s="9" t="s">
        <v>170</v>
      </c>
      <c r="O306" s="31"/>
      <c r="P306" s="9" t="str">
        <f>HYPERLINK("http://www.stromypodkontrolou.cz/map/?draw_selection_circle=1#%7B%22lat%22%3A%2049.6645345844%2C%20%22lng%22%3A%2018.6860288969%2C%20%22zoom%22%3A%2020%7D")</f>
        <v>http://www.stromypodkontrolou.cz/map/?draw_selection_circle=1#%7B%22lat%22%3A%2049.6645345844%2C%20%22lng%22%3A%2018.6860288969%2C%20%22zoom%22%3A%2020%7D</v>
      </c>
    </row>
    <row r="307" spans="1:16" ht="12.75">
      <c r="A307" s="5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 t="s">
        <v>171</v>
      </c>
      <c r="N307" s="9" t="s">
        <v>172</v>
      </c>
      <c r="O307" s="31"/>
      <c r="P307" s="9"/>
    </row>
    <row r="308" spans="1:16" s="16" customFormat="1" ht="48">
      <c r="A308" s="15" t="s">
        <v>696</v>
      </c>
      <c r="B308" s="10" t="s">
        <v>116</v>
      </c>
      <c r="C308" s="10">
        <v>131</v>
      </c>
      <c r="D308" s="10"/>
      <c r="E308" s="10" t="s">
        <v>13</v>
      </c>
      <c r="F308" s="10" t="s">
        <v>175</v>
      </c>
      <c r="G308" s="10">
        <v>23</v>
      </c>
      <c r="H308" s="10"/>
      <c r="I308" s="10"/>
      <c r="J308" s="10"/>
      <c r="K308" s="10">
        <v>15</v>
      </c>
      <c r="L308" s="10">
        <v>4</v>
      </c>
      <c r="M308" s="10" t="s">
        <v>169</v>
      </c>
      <c r="N308" s="10" t="s">
        <v>170</v>
      </c>
      <c r="O308" s="31"/>
      <c r="P308" s="10" t="str">
        <f>HYPERLINK("http://www.stromypodkontrolou.cz/map/?draw_selection_circle=1#%7B%22lat%22%3A%2049.6645527073%2C%20%22lng%22%3A%2018.6860560695%2C%20%22zoom%22%3A%2020%7D")</f>
        <v>http://www.stromypodkontrolou.cz/map/?draw_selection_circle=1#%7B%22lat%22%3A%2049.6645527073%2C%20%22lng%22%3A%2018.6860560695%2C%20%22zoom%22%3A%2020%7D</v>
      </c>
    </row>
    <row r="309" spans="1:16" s="16" customFormat="1" ht="12.75">
      <c r="A309" s="2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 t="s">
        <v>171</v>
      </c>
      <c r="N309" s="10" t="s">
        <v>172</v>
      </c>
      <c r="O309" s="31"/>
      <c r="P309" s="10"/>
    </row>
    <row r="310" spans="1:16" ht="48">
      <c r="A310" s="4" t="s">
        <v>697</v>
      </c>
      <c r="B310" s="9" t="s">
        <v>48</v>
      </c>
      <c r="C310" s="9">
        <v>94</v>
      </c>
      <c r="D310" s="9"/>
      <c r="E310" s="9" t="s">
        <v>24</v>
      </c>
      <c r="F310" s="9" t="s">
        <v>200</v>
      </c>
      <c r="G310" s="9">
        <v>18</v>
      </c>
      <c r="H310" s="9"/>
      <c r="I310" s="9"/>
      <c r="J310" s="9"/>
      <c r="K310" s="9">
        <v>9</v>
      </c>
      <c r="L310" s="9">
        <v>4</v>
      </c>
      <c r="M310" s="9" t="s">
        <v>171</v>
      </c>
      <c r="N310" s="9" t="s">
        <v>172</v>
      </c>
      <c r="O310" s="31"/>
      <c r="P310" s="9" t="str">
        <f>HYPERLINK("http://www.stromypodkontrolou.cz/map/?draw_selection_circle=1#%7B%22lat%22%3A%2049.6668111928%2C%20%22lng%22%3A%2018.6842883543%2C%20%22zoom%22%3A%2020%7D")</f>
        <v>http://www.stromypodkontrolou.cz/map/?draw_selection_circle=1#%7B%22lat%22%3A%2049.6668111928%2C%20%22lng%22%3A%2018.6842883543%2C%20%22zoom%22%3A%2020%7D</v>
      </c>
    </row>
    <row r="311" spans="1:16" ht="12.75">
      <c r="A311" s="5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 t="s">
        <v>169</v>
      </c>
      <c r="N311" s="9" t="s">
        <v>170</v>
      </c>
      <c r="O311" s="31"/>
      <c r="P311" s="9"/>
    </row>
    <row r="312" spans="1:16" s="16" customFormat="1" ht="48">
      <c r="A312" s="15" t="s">
        <v>698</v>
      </c>
      <c r="B312" s="10" t="s">
        <v>63</v>
      </c>
      <c r="C312" s="10">
        <v>437</v>
      </c>
      <c r="D312" s="10"/>
      <c r="E312" s="10" t="s">
        <v>117</v>
      </c>
      <c r="F312" s="10" t="s">
        <v>393</v>
      </c>
      <c r="G312" s="10">
        <v>26</v>
      </c>
      <c r="H312" s="10"/>
      <c r="I312" s="10"/>
      <c r="J312" s="10"/>
      <c r="K312" s="10">
        <v>7</v>
      </c>
      <c r="L312" s="10">
        <v>7</v>
      </c>
      <c r="M312" s="10" t="s">
        <v>169</v>
      </c>
      <c r="N312" s="10" t="s">
        <v>170</v>
      </c>
      <c r="O312" s="31"/>
      <c r="P312" s="10" t="str">
        <f>HYPERLINK("http://www.stromypodkontrolou.cz/map/?draw_selection_circle=1#%7B%22lat%22%3A%2049.6672361802692%2C%20%22lng%22%3A%2018.6844951650203%2C%20%22zoom%22%3A%2020%7D")</f>
        <v>http://www.stromypodkontrolou.cz/map/?draw_selection_circle=1#%7B%22lat%22%3A%2049.6672361802692%2C%20%22lng%22%3A%2018.6844951650203%2C%20%22zoom%22%3A%2020%7D</v>
      </c>
    </row>
    <row r="313" spans="1:16" s="16" customFormat="1" ht="12.75">
      <c r="A313" s="2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 t="s">
        <v>171</v>
      </c>
      <c r="N313" s="10" t="s">
        <v>172</v>
      </c>
      <c r="O313" s="31"/>
      <c r="P313" s="10"/>
    </row>
    <row r="314" spans="1:16" ht="48">
      <c r="A314" s="4" t="s">
        <v>699</v>
      </c>
      <c r="B314" s="9" t="s">
        <v>43</v>
      </c>
      <c r="C314" s="9">
        <v>252</v>
      </c>
      <c r="D314" s="9"/>
      <c r="E314" s="9" t="s">
        <v>11</v>
      </c>
      <c r="F314" s="9" t="s">
        <v>173</v>
      </c>
      <c r="G314" s="9">
        <v>22</v>
      </c>
      <c r="H314" s="9">
        <v>17</v>
      </c>
      <c r="I314" s="9"/>
      <c r="J314" s="9"/>
      <c r="K314" s="9">
        <v>18</v>
      </c>
      <c r="L314" s="9">
        <v>6</v>
      </c>
      <c r="M314" s="9" t="s">
        <v>191</v>
      </c>
      <c r="N314" s="9" t="s">
        <v>192</v>
      </c>
      <c r="O314" s="31"/>
      <c r="P314" s="9" t="str">
        <f>HYPERLINK("http://www.stromypodkontrolou.cz/map/?draw_selection_circle=1#%7B%22lat%22%3A%2049.6734430304%2C%20%22lng%22%3A%2018.6703966398%2C%20%22zoom%22%3A%2020%7D")</f>
        <v>http://www.stromypodkontrolou.cz/map/?draw_selection_circle=1#%7B%22lat%22%3A%2049.6734430304%2C%20%22lng%22%3A%2018.6703966398%2C%20%22zoom%22%3A%2020%7D</v>
      </c>
    </row>
    <row r="315" spans="1:16" ht="12.75">
      <c r="A315" s="5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 t="s">
        <v>171</v>
      </c>
      <c r="N315" s="9" t="s">
        <v>172</v>
      </c>
      <c r="O315" s="31"/>
      <c r="P315" s="9"/>
    </row>
    <row r="316" spans="1:16" s="16" customFormat="1" ht="48">
      <c r="A316" s="15" t="s">
        <v>700</v>
      </c>
      <c r="B316" s="10" t="s">
        <v>43</v>
      </c>
      <c r="C316" s="10">
        <v>86</v>
      </c>
      <c r="D316" s="10"/>
      <c r="E316" s="10" t="s">
        <v>46</v>
      </c>
      <c r="F316" s="10" t="s">
        <v>248</v>
      </c>
      <c r="G316" s="10">
        <v>13</v>
      </c>
      <c r="H316" s="10"/>
      <c r="I316" s="10"/>
      <c r="J316" s="10"/>
      <c r="K316" s="10">
        <v>8</v>
      </c>
      <c r="L316" s="10">
        <v>3</v>
      </c>
      <c r="M316" s="10" t="s">
        <v>169</v>
      </c>
      <c r="N316" s="10" t="s">
        <v>170</v>
      </c>
      <c r="O316" s="31"/>
      <c r="P316" s="10" t="str">
        <f>HYPERLINK("http://www.stromypodkontrolou.cz/map/?draw_selection_circle=1#%7B%22lat%22%3A%2049.6750680160365%2C%20%22lng%22%3A%2018.6692997934478%2C%20%22zoom%22%3A%2020%7D")</f>
        <v>http://www.stromypodkontrolou.cz/map/?draw_selection_circle=1#%7B%22lat%22%3A%2049.6750680160365%2C%20%22lng%22%3A%2018.6692997934478%2C%20%22zoom%22%3A%2020%7D</v>
      </c>
    </row>
    <row r="317" spans="1:16" s="16" customFormat="1" ht="12.75">
      <c r="A317" s="2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 t="s">
        <v>171</v>
      </c>
      <c r="N317" s="10" t="s">
        <v>172</v>
      </c>
      <c r="O317" s="31"/>
      <c r="P317" s="10"/>
    </row>
    <row r="318" spans="1:16" ht="48">
      <c r="A318" s="4" t="s">
        <v>701</v>
      </c>
      <c r="B318" s="9" t="s">
        <v>115</v>
      </c>
      <c r="C318" s="9">
        <v>99</v>
      </c>
      <c r="D318" s="9"/>
      <c r="E318" s="9" t="s">
        <v>24</v>
      </c>
      <c r="F318" s="9" t="s">
        <v>200</v>
      </c>
      <c r="G318" s="9">
        <v>28</v>
      </c>
      <c r="H318" s="9"/>
      <c r="I318" s="9"/>
      <c r="J318" s="9"/>
      <c r="K318" s="9">
        <v>11</v>
      </c>
      <c r="L318" s="9">
        <v>8</v>
      </c>
      <c r="M318" s="9" t="s">
        <v>169</v>
      </c>
      <c r="N318" s="9" t="s">
        <v>170</v>
      </c>
      <c r="O318" s="31"/>
      <c r="P318" s="9" t="str">
        <f>HYPERLINK("http://www.stromypodkontrolou.cz/map/?draw_selection_circle=1#%7B%22lat%22%3A%2049.6678167151409%2C%20%22lng%22%3A%2018.6819669359793%2C%20%22zoom%22%3A%2020%7D")</f>
        <v>http://www.stromypodkontrolou.cz/map/?draw_selection_circle=1#%7B%22lat%22%3A%2049.6678167151409%2C%20%22lng%22%3A%2018.6819669359793%2C%20%22zoom%22%3A%2020%7D</v>
      </c>
    </row>
    <row r="319" spans="1:16" ht="12.75">
      <c r="A319" s="5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 t="s">
        <v>171</v>
      </c>
      <c r="N319" s="9" t="s">
        <v>172</v>
      </c>
      <c r="O319" s="31"/>
      <c r="P319" s="9"/>
    </row>
    <row r="320" spans="1:16" s="16" customFormat="1" ht="48">
      <c r="A320" s="15" t="s">
        <v>702</v>
      </c>
      <c r="B320" s="10" t="s">
        <v>115</v>
      </c>
      <c r="C320" s="10">
        <v>69</v>
      </c>
      <c r="D320" s="10"/>
      <c r="E320" s="10" t="s">
        <v>28</v>
      </c>
      <c r="F320" s="10" t="s">
        <v>207</v>
      </c>
      <c r="G320" s="10">
        <v>20</v>
      </c>
      <c r="H320" s="10">
        <v>17</v>
      </c>
      <c r="I320" s="10"/>
      <c r="J320" s="10"/>
      <c r="K320" s="10">
        <v>10</v>
      </c>
      <c r="L320" s="10">
        <v>2</v>
      </c>
      <c r="M320" s="10" t="s">
        <v>218</v>
      </c>
      <c r="N320" s="10" t="s">
        <v>219</v>
      </c>
      <c r="O320" s="31"/>
      <c r="P320" s="10" t="str">
        <f>HYPERLINK("http://www.stromypodkontrolou.cz/map/?draw_selection_circle=1#%7B%22lat%22%3A%2049.6678347327%2C%20%22lng%22%3A%2018.6807857095%2C%20%22zoom%22%3A%2020%7D")</f>
        <v>http://www.stromypodkontrolou.cz/map/?draw_selection_circle=1#%7B%22lat%22%3A%2049.6678347327%2C%20%22lng%22%3A%2018.6807857095%2C%20%22zoom%22%3A%2020%7D</v>
      </c>
    </row>
    <row r="321" spans="1:16" s="16" customFormat="1" ht="12.75">
      <c r="A321" s="2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 t="s">
        <v>171</v>
      </c>
      <c r="N321" s="10" t="s">
        <v>172</v>
      </c>
      <c r="O321" s="31"/>
      <c r="P321" s="10"/>
    </row>
    <row r="322" spans="1:16" ht="48">
      <c r="A322" s="4" t="s">
        <v>703</v>
      </c>
      <c r="B322" s="9" t="s">
        <v>49</v>
      </c>
      <c r="C322" s="9">
        <v>91</v>
      </c>
      <c r="D322" s="9"/>
      <c r="E322" s="9" t="s">
        <v>11</v>
      </c>
      <c r="F322" s="9" t="s">
        <v>173</v>
      </c>
      <c r="G322" s="9">
        <v>45</v>
      </c>
      <c r="H322" s="9"/>
      <c r="I322" s="9"/>
      <c r="J322" s="9"/>
      <c r="K322" s="9">
        <v>19</v>
      </c>
      <c r="L322" s="9">
        <v>10</v>
      </c>
      <c r="M322" s="9" t="s">
        <v>218</v>
      </c>
      <c r="N322" s="9" t="s">
        <v>219</v>
      </c>
      <c r="O322" s="31"/>
      <c r="P322" s="9" t="str">
        <f>HYPERLINK("http://www.stromypodkontrolou.cz/map/?draw_selection_circle=1#%7B%22lat%22%3A%2049.6680043991716%2C%20%22lng%22%3A%2018.6799862561902%2C%20%22zoom%22%3A%2020%7D")</f>
        <v>http://www.stromypodkontrolou.cz/map/?draw_selection_circle=1#%7B%22lat%22%3A%2049.6680043991716%2C%20%22lng%22%3A%2018.6799862561902%2C%20%22zoom%22%3A%2020%7D</v>
      </c>
    </row>
    <row r="323" spans="1:16" ht="12.75">
      <c r="A323" s="5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 t="s">
        <v>171</v>
      </c>
      <c r="N323" s="9" t="s">
        <v>172</v>
      </c>
      <c r="O323" s="31"/>
      <c r="P323" s="9"/>
    </row>
    <row r="324" spans="1:16" s="16" customFormat="1" ht="48">
      <c r="A324" s="15" t="s">
        <v>704</v>
      </c>
      <c r="B324" s="10" t="s">
        <v>73</v>
      </c>
      <c r="C324" s="10">
        <v>1</v>
      </c>
      <c r="D324" s="10"/>
      <c r="E324" s="10" t="s">
        <v>44</v>
      </c>
      <c r="F324" s="10" t="s">
        <v>242</v>
      </c>
      <c r="G324" s="10">
        <v>23</v>
      </c>
      <c r="H324" s="10"/>
      <c r="I324" s="10"/>
      <c r="J324" s="10"/>
      <c r="K324" s="10">
        <v>8</v>
      </c>
      <c r="L324" s="10">
        <v>5</v>
      </c>
      <c r="M324" s="10" t="s">
        <v>169</v>
      </c>
      <c r="N324" s="10" t="s">
        <v>170</v>
      </c>
      <c r="O324" s="31"/>
      <c r="P324" s="10" t="str">
        <f>HYPERLINK("http://www.stromypodkontrolou.cz/map/?draw_selection_circle=1#%7B%22lat%22%3A%2049.6654397393%2C%20%22lng%22%3A%2018.6774091572%2C%20%22zoom%22%3A%2020%7D")</f>
        <v>http://www.stromypodkontrolou.cz/map/?draw_selection_circle=1#%7B%22lat%22%3A%2049.6654397393%2C%20%22lng%22%3A%2018.6774091572%2C%20%22zoom%22%3A%2020%7D</v>
      </c>
    </row>
    <row r="325" spans="1:16" s="16" customFormat="1" ht="12.75">
      <c r="A325" s="2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 t="s">
        <v>171</v>
      </c>
      <c r="N325" s="10" t="s">
        <v>172</v>
      </c>
      <c r="O325" s="31"/>
      <c r="P325" s="10"/>
    </row>
    <row r="326" spans="1:16" ht="48">
      <c r="A326" s="4" t="s">
        <v>705</v>
      </c>
      <c r="B326" s="9" t="s">
        <v>81</v>
      </c>
      <c r="C326" s="9">
        <v>88</v>
      </c>
      <c r="D326" s="9"/>
      <c r="E326" s="9" t="s">
        <v>72</v>
      </c>
      <c r="F326" s="9" t="s">
        <v>292</v>
      </c>
      <c r="G326" s="9">
        <v>20</v>
      </c>
      <c r="H326" s="9"/>
      <c r="I326" s="9"/>
      <c r="J326" s="9"/>
      <c r="K326" s="9">
        <v>7</v>
      </c>
      <c r="L326" s="9">
        <v>4</v>
      </c>
      <c r="M326" s="9" t="s">
        <v>171</v>
      </c>
      <c r="N326" s="9" t="s">
        <v>172</v>
      </c>
      <c r="O326" s="31"/>
      <c r="P326" s="9" t="str">
        <f>HYPERLINK("http://www.stromypodkontrolou.cz/map/?draw_selection_circle=1#%7B%22lat%22%3A%2049.6684993301368%2C%20%22lng%22%3A%2018.6735900284393%2C%20%22zoom%22%3A%2020%7D")</f>
        <v>http://www.stromypodkontrolou.cz/map/?draw_selection_circle=1#%7B%22lat%22%3A%2049.6684993301368%2C%20%22lng%22%3A%2018.6735900284393%2C%20%22zoom%22%3A%2020%7D</v>
      </c>
    </row>
    <row r="327" spans="1:16" ht="12.75">
      <c r="A327" s="5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 t="s">
        <v>169</v>
      </c>
      <c r="N327" s="9" t="s">
        <v>170</v>
      </c>
      <c r="O327" s="31"/>
      <c r="P327" s="9"/>
    </row>
    <row r="328" spans="1:16" s="16" customFormat="1" ht="48">
      <c r="A328" s="15" t="s">
        <v>706</v>
      </c>
      <c r="B328" s="10" t="s">
        <v>25</v>
      </c>
      <c r="C328" s="10">
        <v>161</v>
      </c>
      <c r="D328" s="10"/>
      <c r="E328" s="10" t="s">
        <v>118</v>
      </c>
      <c r="F328" s="10" t="s">
        <v>400</v>
      </c>
      <c r="G328" s="10">
        <v>18</v>
      </c>
      <c r="H328" s="10"/>
      <c r="I328" s="10"/>
      <c r="J328" s="10"/>
      <c r="K328" s="10">
        <v>5</v>
      </c>
      <c r="L328" s="10">
        <v>4</v>
      </c>
      <c r="M328" s="10" t="s">
        <v>169</v>
      </c>
      <c r="N328" s="10" t="s">
        <v>170</v>
      </c>
      <c r="O328" s="31"/>
      <c r="P328" s="10" t="str">
        <f>HYPERLINK("http://www.stromypodkontrolou.cz/map/?draw_selection_circle=1#%7B%22lat%22%3A%2049.667165367329%2C%20%22lng%22%3A%2018.672871266508%2C%20%22zoom%22%3A%2020%7D")</f>
        <v>http://www.stromypodkontrolou.cz/map/?draw_selection_circle=1#%7B%22lat%22%3A%2049.667165367329%2C%20%22lng%22%3A%2018.672871266508%2C%20%22zoom%22%3A%2020%7D</v>
      </c>
    </row>
    <row r="329" spans="1:16" s="16" customFormat="1" ht="12.75">
      <c r="A329" s="2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 t="s">
        <v>171</v>
      </c>
      <c r="N329" s="10" t="s">
        <v>172</v>
      </c>
      <c r="O329" s="31"/>
      <c r="P329" s="10"/>
    </row>
    <row r="330" spans="1:16" ht="48">
      <c r="A330" s="4" t="s">
        <v>707</v>
      </c>
      <c r="B330" s="9" t="s">
        <v>25</v>
      </c>
      <c r="C330" s="9">
        <v>167</v>
      </c>
      <c r="D330" s="9"/>
      <c r="E330" s="9" t="s">
        <v>70</v>
      </c>
      <c r="F330" s="9" t="s">
        <v>285</v>
      </c>
      <c r="G330" s="9">
        <v>25</v>
      </c>
      <c r="H330" s="9"/>
      <c r="I330" s="9"/>
      <c r="J330" s="9"/>
      <c r="K330" s="9">
        <v>9</v>
      </c>
      <c r="L330" s="9">
        <v>8</v>
      </c>
      <c r="M330" s="9" t="s">
        <v>169</v>
      </c>
      <c r="N330" s="9" t="s">
        <v>170</v>
      </c>
      <c r="O330" s="31"/>
      <c r="P330" s="9" t="str">
        <f>HYPERLINK("http://www.stromypodkontrolou.cz/map/?draw_selection_circle=1#%7B%22lat%22%3A%2049.6672107563474%2C%20%22lng%22%3A%2018.6721073920371%2C%20%22zoom%22%3A%2020%7D")</f>
        <v>http://www.stromypodkontrolou.cz/map/?draw_selection_circle=1#%7B%22lat%22%3A%2049.6672107563474%2C%20%22lng%22%3A%2018.6721073920371%2C%20%22zoom%22%3A%2020%7D</v>
      </c>
    </row>
    <row r="331" spans="1:16" ht="12.75">
      <c r="A331" s="5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 t="s">
        <v>171</v>
      </c>
      <c r="N331" s="9" t="s">
        <v>172</v>
      </c>
      <c r="O331" s="31"/>
      <c r="P331" s="9"/>
    </row>
    <row r="332" spans="1:16" s="16" customFormat="1" ht="48">
      <c r="A332" s="15" t="s">
        <v>708</v>
      </c>
      <c r="B332" s="10" t="s">
        <v>81</v>
      </c>
      <c r="C332" s="10">
        <v>460</v>
      </c>
      <c r="D332" s="10"/>
      <c r="E332" s="10" t="s">
        <v>114</v>
      </c>
      <c r="F332" s="10" t="s">
        <v>381</v>
      </c>
      <c r="G332" s="10">
        <v>17</v>
      </c>
      <c r="H332" s="10"/>
      <c r="I332" s="10"/>
      <c r="J332" s="10"/>
      <c r="K332" s="10">
        <v>6</v>
      </c>
      <c r="L332" s="10">
        <v>7</v>
      </c>
      <c r="M332" s="10" t="s">
        <v>169</v>
      </c>
      <c r="N332" s="10" t="s">
        <v>170</v>
      </c>
      <c r="O332" s="31"/>
      <c r="P332" s="10" t="str">
        <f>HYPERLINK("http://www.stromypodkontrolou.cz/map/?draw_selection_circle=1#%7B%22lat%22%3A%2049.6701302259917%2C%20%22lng%22%3A%2018.6729428434721%2C%20%22zoom%22%3A%2020%7D")</f>
        <v>http://www.stromypodkontrolou.cz/map/?draw_selection_circle=1#%7B%22lat%22%3A%2049.6701302259917%2C%20%22lng%22%3A%2018.6729428434721%2C%20%22zoom%22%3A%2020%7D</v>
      </c>
    </row>
    <row r="333" spans="1:16" s="16" customFormat="1" ht="12.75">
      <c r="A333" s="2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 t="s">
        <v>171</v>
      </c>
      <c r="N333" s="10" t="s">
        <v>172</v>
      </c>
      <c r="O333" s="31"/>
      <c r="P333" s="10"/>
    </row>
    <row r="334" spans="1:16" ht="48">
      <c r="A334" s="4" t="s">
        <v>709</v>
      </c>
      <c r="B334" s="9" t="s">
        <v>25</v>
      </c>
      <c r="C334" s="9">
        <v>48</v>
      </c>
      <c r="D334" s="9"/>
      <c r="E334" s="9" t="s">
        <v>72</v>
      </c>
      <c r="F334" s="9" t="s">
        <v>292</v>
      </c>
      <c r="G334" s="9">
        <v>13</v>
      </c>
      <c r="H334" s="9"/>
      <c r="I334" s="9"/>
      <c r="J334" s="9"/>
      <c r="K334" s="9">
        <v>5</v>
      </c>
      <c r="L334" s="9">
        <v>3</v>
      </c>
      <c r="M334" s="9" t="s">
        <v>171</v>
      </c>
      <c r="N334" s="9" t="s">
        <v>172</v>
      </c>
      <c r="O334" s="31"/>
      <c r="P334" s="9" t="str">
        <f>HYPERLINK("http://www.stromypodkontrolou.cz/map/?draw_selection_circle=1#%7B%22lat%22%3A%2049.6637111072771%2C%20%22lng%22%3A%2018.6729343234549%2C%20%22zoom%22%3A%2020%7D")</f>
        <v>http://www.stromypodkontrolou.cz/map/?draw_selection_circle=1#%7B%22lat%22%3A%2049.6637111072771%2C%20%22lng%22%3A%2018.6729343234549%2C%20%22zoom%22%3A%2020%7D</v>
      </c>
    </row>
    <row r="335" spans="1:16" ht="12.75">
      <c r="A335" s="5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 t="s">
        <v>169</v>
      </c>
      <c r="N335" s="9" t="s">
        <v>170</v>
      </c>
      <c r="O335" s="31"/>
      <c r="P335" s="9"/>
    </row>
    <row r="336" spans="1:16" s="16" customFormat="1" ht="48">
      <c r="A336" s="15" t="s">
        <v>710</v>
      </c>
      <c r="B336" s="10" t="s">
        <v>25</v>
      </c>
      <c r="C336" s="10">
        <v>46</v>
      </c>
      <c r="D336" s="10"/>
      <c r="E336" s="10" t="s">
        <v>39</v>
      </c>
      <c r="F336" s="10" t="s">
        <v>235</v>
      </c>
      <c r="G336" s="10">
        <v>17</v>
      </c>
      <c r="H336" s="10"/>
      <c r="I336" s="10"/>
      <c r="J336" s="10"/>
      <c r="K336" s="10">
        <v>10</v>
      </c>
      <c r="L336" s="10">
        <v>5</v>
      </c>
      <c r="M336" s="10" t="s">
        <v>169</v>
      </c>
      <c r="N336" s="10" t="s">
        <v>170</v>
      </c>
      <c r="O336" s="31"/>
      <c r="P336" s="10" t="str">
        <f>HYPERLINK("http://www.stromypodkontrolou.cz/map/?draw_selection_circle=1#%7B%22lat%22%3A%2049.66361525%2C%20%22lng%22%3A%2018.672905747%2C%20%22zoom%22%3A%2020%7D")</f>
        <v>http://www.stromypodkontrolou.cz/map/?draw_selection_circle=1#%7B%22lat%22%3A%2049.66361525%2C%20%22lng%22%3A%2018.672905747%2C%20%22zoom%22%3A%2020%7D</v>
      </c>
    </row>
    <row r="337" spans="1:16" s="16" customFormat="1" ht="12.75">
      <c r="A337" s="2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 t="s">
        <v>171</v>
      </c>
      <c r="N337" s="10" t="s">
        <v>172</v>
      </c>
      <c r="O337" s="31"/>
      <c r="P337" s="10"/>
    </row>
    <row r="338" spans="1:16" ht="48">
      <c r="A338" s="4" t="s">
        <v>711</v>
      </c>
      <c r="B338" s="9" t="s">
        <v>119</v>
      </c>
      <c r="C338" s="9">
        <v>12</v>
      </c>
      <c r="D338" s="9"/>
      <c r="E338" s="9" t="s">
        <v>57</v>
      </c>
      <c r="F338" s="9" t="s">
        <v>261</v>
      </c>
      <c r="G338" s="9">
        <v>22</v>
      </c>
      <c r="H338" s="9"/>
      <c r="I338" s="9"/>
      <c r="J338" s="9"/>
      <c r="K338" s="9">
        <v>8</v>
      </c>
      <c r="L338" s="9">
        <v>6</v>
      </c>
      <c r="M338" s="9" t="s">
        <v>169</v>
      </c>
      <c r="N338" s="9" t="s">
        <v>170</v>
      </c>
      <c r="O338" s="31"/>
      <c r="P338" s="9" t="str">
        <f>HYPERLINK("http://www.stromypodkontrolou.cz/map/?draw_selection_circle=1#%7B%22lat%22%3A%2049.6633216732%2C%20%22lng%22%3A%2018.6752900132%2C%20%22zoom%22%3A%2020%7D")</f>
        <v>http://www.stromypodkontrolou.cz/map/?draw_selection_circle=1#%7B%22lat%22%3A%2049.6633216732%2C%20%22lng%22%3A%2018.6752900132%2C%20%22zoom%22%3A%2020%7D</v>
      </c>
    </row>
    <row r="339" spans="1:16" ht="12.75">
      <c r="A339" s="5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 t="s">
        <v>171</v>
      </c>
      <c r="N339" s="9" t="s">
        <v>172</v>
      </c>
      <c r="O339" s="31"/>
      <c r="P339" s="9"/>
    </row>
    <row r="340" spans="1:16" s="16" customFormat="1" ht="48">
      <c r="A340" s="15" t="s">
        <v>712</v>
      </c>
      <c r="B340" s="10" t="s">
        <v>81</v>
      </c>
      <c r="C340" s="10">
        <v>168</v>
      </c>
      <c r="D340" s="10"/>
      <c r="E340" s="10" t="s">
        <v>11</v>
      </c>
      <c r="F340" s="10" t="s">
        <v>173</v>
      </c>
      <c r="G340" s="10">
        <v>17</v>
      </c>
      <c r="H340" s="10"/>
      <c r="I340" s="10"/>
      <c r="J340" s="10"/>
      <c r="K340" s="10">
        <v>12</v>
      </c>
      <c r="L340" s="10">
        <v>5</v>
      </c>
      <c r="M340" s="10" t="s">
        <v>169</v>
      </c>
      <c r="N340" s="10" t="s">
        <v>170</v>
      </c>
      <c r="O340" s="31"/>
      <c r="P340" s="10" t="str">
        <f>HYPERLINK("http://www.stromypodkontrolou.cz/map/?draw_selection_circle=1#%7B%22lat%22%3A%2049.6674261452%2C%20%22lng%22%3A%2018.6734372025%2C%20%22zoom%22%3A%2020%7D")</f>
        <v>http://www.stromypodkontrolou.cz/map/?draw_selection_circle=1#%7B%22lat%22%3A%2049.6674261452%2C%20%22lng%22%3A%2018.6734372025%2C%20%22zoom%22%3A%2020%7D</v>
      </c>
    </row>
    <row r="341" spans="1:16" s="16" customFormat="1" ht="12.75">
      <c r="A341" s="2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 t="s">
        <v>171</v>
      </c>
      <c r="N341" s="10" t="s">
        <v>172</v>
      </c>
      <c r="O341" s="31"/>
      <c r="P341" s="10"/>
    </row>
    <row r="342" spans="1:16" ht="48">
      <c r="A342" s="4" t="s">
        <v>713</v>
      </c>
      <c r="B342" s="9" t="s">
        <v>26</v>
      </c>
      <c r="C342" s="9">
        <v>18</v>
      </c>
      <c r="D342" s="9"/>
      <c r="E342" s="9" t="s">
        <v>44</v>
      </c>
      <c r="F342" s="9" t="s">
        <v>242</v>
      </c>
      <c r="G342" s="9">
        <v>23</v>
      </c>
      <c r="H342" s="9"/>
      <c r="I342" s="9"/>
      <c r="J342" s="9"/>
      <c r="K342" s="9">
        <v>11</v>
      </c>
      <c r="L342" s="9">
        <v>6</v>
      </c>
      <c r="M342" s="9" t="s">
        <v>169</v>
      </c>
      <c r="N342" s="9" t="s">
        <v>170</v>
      </c>
      <c r="O342" s="31"/>
      <c r="P342" s="9" t="str">
        <f>HYPERLINK("http://www.stromypodkontrolou.cz/map/?draw_selection_circle=1#%7B%22lat%22%3A%2049.6638241542%2C%20%22lng%22%3A%2018.6745329073%2C%20%22zoom%22%3A%2020%7D")</f>
        <v>http://www.stromypodkontrolou.cz/map/?draw_selection_circle=1#%7B%22lat%22%3A%2049.6638241542%2C%20%22lng%22%3A%2018.6745329073%2C%20%22zoom%22%3A%2020%7D</v>
      </c>
    </row>
    <row r="343" spans="1:16" ht="12.75">
      <c r="A343" s="5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 t="s">
        <v>171</v>
      </c>
      <c r="N343" s="9" t="s">
        <v>172</v>
      </c>
      <c r="O343" s="31"/>
      <c r="P343" s="9"/>
    </row>
    <row r="344" spans="1:16" s="16" customFormat="1" ht="48">
      <c r="A344" s="15" t="s">
        <v>714</v>
      </c>
      <c r="B344" s="10" t="s">
        <v>120</v>
      </c>
      <c r="C344" s="10">
        <v>1</v>
      </c>
      <c r="D344" s="10"/>
      <c r="E344" s="10" t="s">
        <v>121</v>
      </c>
      <c r="F344" s="10" t="s">
        <v>407</v>
      </c>
      <c r="G344" s="10">
        <v>20</v>
      </c>
      <c r="H344" s="10"/>
      <c r="I344" s="10"/>
      <c r="J344" s="10"/>
      <c r="K344" s="10">
        <v>11</v>
      </c>
      <c r="L344" s="10">
        <v>5</v>
      </c>
      <c r="M344" s="10" t="s">
        <v>169</v>
      </c>
      <c r="N344" s="10" t="s">
        <v>170</v>
      </c>
      <c r="O344" s="31"/>
      <c r="P344" s="10" t="str">
        <f>HYPERLINK("http://www.stromypodkontrolou.cz/map/?draw_selection_circle=1#%7B%22lat%22%3A%2049.6827902522974%2C%20%22lng%22%3A%2018.6680686798675%2C%20%22zoom%22%3A%2020%7D")</f>
        <v>http://www.stromypodkontrolou.cz/map/?draw_selection_circle=1#%7B%22lat%22%3A%2049.6827902522974%2C%20%22lng%22%3A%2018.6680686798675%2C%20%22zoom%22%3A%2020%7D</v>
      </c>
    </row>
    <row r="345" spans="1:16" s="16" customFormat="1" ht="12.75">
      <c r="A345" s="2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 t="s">
        <v>171</v>
      </c>
      <c r="N345" s="10" t="s">
        <v>172</v>
      </c>
      <c r="O345" s="31"/>
      <c r="P345" s="10"/>
    </row>
    <row r="346" spans="1:16" ht="48">
      <c r="A346" s="4" t="s">
        <v>715</v>
      </c>
      <c r="B346" s="9" t="s">
        <v>25</v>
      </c>
      <c r="C346" s="9">
        <v>107</v>
      </c>
      <c r="D346" s="9"/>
      <c r="E346" s="9" t="s">
        <v>24</v>
      </c>
      <c r="F346" s="9" t="s">
        <v>200</v>
      </c>
      <c r="G346" s="9">
        <v>38</v>
      </c>
      <c r="H346" s="9"/>
      <c r="I346" s="9"/>
      <c r="J346" s="9"/>
      <c r="K346" s="9">
        <v>12</v>
      </c>
      <c r="L346" s="9">
        <v>9</v>
      </c>
      <c r="M346" s="9" t="s">
        <v>218</v>
      </c>
      <c r="N346" s="9" t="s">
        <v>219</v>
      </c>
      <c r="O346" s="31"/>
      <c r="P346" s="9" t="str">
        <f>HYPERLINK("http://www.stromypodkontrolou.cz/map/?draw_selection_circle=1#%7B%22lat%22%3A%2049.6654517621877%2C%20%22lng%22%3A%2018.6729796498904%2C%20%22zoom%22%3A%2020%7D")</f>
        <v>http://www.stromypodkontrolou.cz/map/?draw_selection_circle=1#%7B%22lat%22%3A%2049.6654517621877%2C%20%22lng%22%3A%2018.6729796498904%2C%20%22zoom%22%3A%2020%7D</v>
      </c>
    </row>
    <row r="347" spans="1:16" ht="12.75">
      <c r="A347" s="5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 t="s">
        <v>171</v>
      </c>
      <c r="N347" s="9" t="s">
        <v>172</v>
      </c>
      <c r="O347" s="31"/>
      <c r="P347" s="9"/>
    </row>
    <row r="348" spans="1:16" s="16" customFormat="1" ht="48">
      <c r="A348" s="18" t="s">
        <v>716</v>
      </c>
      <c r="B348" s="10" t="s">
        <v>12</v>
      </c>
      <c r="C348" s="10">
        <v>106</v>
      </c>
      <c r="D348" s="10"/>
      <c r="E348" s="10" t="s">
        <v>70</v>
      </c>
      <c r="F348" s="10" t="s">
        <v>285</v>
      </c>
      <c r="G348" s="10">
        <v>16</v>
      </c>
      <c r="H348" s="10"/>
      <c r="I348" s="10"/>
      <c r="J348" s="10"/>
      <c r="K348" s="10">
        <v>10</v>
      </c>
      <c r="L348" s="10">
        <v>5</v>
      </c>
      <c r="M348" s="10" t="s">
        <v>169</v>
      </c>
      <c r="N348" s="10" t="s">
        <v>170</v>
      </c>
      <c r="O348" s="31"/>
      <c r="P348" s="10" t="str">
        <f>HYPERLINK("http://www.stromypodkontrolou.cz/map/?draw_selection_circle=1#%7B%22lat%22%3A%2049.6805796039705%2C%20%22lng%22%3A%2018.6800676653671%2C%20%22zoom%22%3A%2020%7D")</f>
        <v>http://www.stromypodkontrolou.cz/map/?draw_selection_circle=1#%7B%22lat%22%3A%2049.6805796039705%2C%20%22lng%22%3A%2018.6800676653671%2C%20%22zoom%22%3A%2020%7D</v>
      </c>
    </row>
    <row r="349" spans="1:16" ht="48">
      <c r="A349" s="4" t="s">
        <v>717</v>
      </c>
      <c r="B349" s="9" t="s">
        <v>12</v>
      </c>
      <c r="C349" s="9">
        <v>142</v>
      </c>
      <c r="D349" s="9"/>
      <c r="E349" s="9" t="s">
        <v>27</v>
      </c>
      <c r="F349" s="9" t="s">
        <v>204</v>
      </c>
      <c r="G349" s="9">
        <v>9</v>
      </c>
      <c r="H349" s="9"/>
      <c r="I349" s="9"/>
      <c r="J349" s="9"/>
      <c r="K349" s="9">
        <v>3</v>
      </c>
      <c r="L349" s="9">
        <v>3</v>
      </c>
      <c r="M349" s="9" t="s">
        <v>169</v>
      </c>
      <c r="N349" s="9" t="s">
        <v>170</v>
      </c>
      <c r="O349" s="31"/>
      <c r="P349" s="9" t="str">
        <f>HYPERLINK("http://www.stromypodkontrolou.cz/map/?draw_selection_circle=1#%7B%22lat%22%3A%2049.6796114429708%2C%20%22lng%22%3A%2018.6796865601852%2C%20%22zoom%22%3A%2020%7D")</f>
        <v>http://www.stromypodkontrolou.cz/map/?draw_selection_circle=1#%7B%22lat%22%3A%2049.6796114429708%2C%20%22lng%22%3A%2018.6796865601852%2C%20%22zoom%22%3A%2020%7D</v>
      </c>
    </row>
    <row r="350" spans="1:16" ht="12.75">
      <c r="A350" s="5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 t="s">
        <v>171</v>
      </c>
      <c r="N350" s="9" t="s">
        <v>172</v>
      </c>
      <c r="O350" s="31"/>
      <c r="P350" s="9"/>
    </row>
    <row r="351" spans="1:16" s="16" customFormat="1" ht="48">
      <c r="A351" s="18" t="s">
        <v>718</v>
      </c>
      <c r="B351" s="10" t="s">
        <v>12</v>
      </c>
      <c r="C351" s="10">
        <v>146</v>
      </c>
      <c r="D351" s="10"/>
      <c r="E351" s="10" t="s">
        <v>41</v>
      </c>
      <c r="F351" s="10" t="s">
        <v>238</v>
      </c>
      <c r="G351" s="10">
        <v>20</v>
      </c>
      <c r="H351" s="10"/>
      <c r="I351" s="10"/>
      <c r="J351" s="10"/>
      <c r="K351" s="10">
        <v>8</v>
      </c>
      <c r="L351" s="10">
        <v>5</v>
      </c>
      <c r="M351" s="10" t="s">
        <v>169</v>
      </c>
      <c r="N351" s="10" t="s">
        <v>170</v>
      </c>
      <c r="O351" s="31"/>
      <c r="P351" s="10" t="str">
        <f>HYPERLINK("http://www.stromypodkontrolou.cz/map/?draw_selection_circle=1#%7B%22lat%22%3A%2049.6790980907324%2C%20%22lng%22%3A%2018.6803843081072%2C%20%22zoom%22%3A%2020%7D")</f>
        <v>http://www.stromypodkontrolou.cz/map/?draw_selection_circle=1#%7B%22lat%22%3A%2049.6790980907324%2C%20%22lng%22%3A%2018.6803843081072%2C%20%22zoom%22%3A%2020%7D</v>
      </c>
    </row>
    <row r="352" spans="1:16" ht="48">
      <c r="A352" s="4" t="s">
        <v>719</v>
      </c>
      <c r="B352" s="9" t="s">
        <v>29</v>
      </c>
      <c r="C352" s="9">
        <v>9</v>
      </c>
      <c r="D352" s="9"/>
      <c r="E352" s="9" t="s">
        <v>57</v>
      </c>
      <c r="F352" s="9" t="s">
        <v>261</v>
      </c>
      <c r="G352" s="9">
        <v>25</v>
      </c>
      <c r="H352" s="9"/>
      <c r="I352" s="9"/>
      <c r="J352" s="9"/>
      <c r="K352" s="9">
        <v>9</v>
      </c>
      <c r="L352" s="9">
        <v>4</v>
      </c>
      <c r="M352" s="9" t="s">
        <v>169</v>
      </c>
      <c r="N352" s="9" t="s">
        <v>170</v>
      </c>
      <c r="O352" s="31"/>
      <c r="P352" s="9" t="str">
        <f>HYPERLINK("http://www.stromypodkontrolou.cz/map/?draw_selection_circle=1#%7B%22lat%22%3A%2049.6751465797183%2C%20%22lng%22%3A%2018.6685863184221%2C%20%22zoom%22%3A%2020%7D")</f>
        <v>http://www.stromypodkontrolou.cz/map/?draw_selection_circle=1#%7B%22lat%22%3A%2049.6751465797183%2C%20%22lng%22%3A%2018.6685863184221%2C%20%22zoom%22%3A%2020%7D</v>
      </c>
    </row>
    <row r="353" spans="1:16" ht="12.75">
      <c r="A353" s="5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 t="s">
        <v>171</v>
      </c>
      <c r="N353" s="9" t="s">
        <v>172</v>
      </c>
      <c r="O353" s="31"/>
      <c r="P353" s="9"/>
    </row>
    <row r="354" spans="1:16" s="16" customFormat="1" ht="48">
      <c r="A354" s="15" t="s">
        <v>720</v>
      </c>
      <c r="B354" s="10" t="s">
        <v>29</v>
      </c>
      <c r="C354" s="10">
        <v>7</v>
      </c>
      <c r="D354" s="10"/>
      <c r="E354" s="10" t="s">
        <v>104</v>
      </c>
      <c r="F354" s="10" t="s">
        <v>344</v>
      </c>
      <c r="G354" s="10">
        <v>27</v>
      </c>
      <c r="H354" s="10"/>
      <c r="I354" s="10"/>
      <c r="J354" s="10"/>
      <c r="K354" s="10">
        <v>8</v>
      </c>
      <c r="L354" s="10">
        <v>6</v>
      </c>
      <c r="M354" s="10" t="s">
        <v>169</v>
      </c>
      <c r="N354" s="10" t="s">
        <v>170</v>
      </c>
      <c r="O354" s="31"/>
      <c r="P354" s="10" t="str">
        <f>HYPERLINK("http://www.stromypodkontrolou.cz/map/?draw_selection_circle=1#%7B%22lat%22%3A%2049.6751490459074%2C%20%22lng%22%3A%2018.6682170686252%2C%20%22zoom%22%3A%2020%7D")</f>
        <v>http://www.stromypodkontrolou.cz/map/?draw_selection_circle=1#%7B%22lat%22%3A%2049.6751490459074%2C%20%22lng%22%3A%2018.6682170686252%2C%20%22zoom%22%3A%2020%7D</v>
      </c>
    </row>
    <row r="355" spans="1:16" s="16" customFormat="1" ht="12.75">
      <c r="A355" s="2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 t="s">
        <v>171</v>
      </c>
      <c r="N355" s="10" t="s">
        <v>172</v>
      </c>
      <c r="O355" s="31"/>
      <c r="P355" s="10"/>
    </row>
    <row r="356" spans="1:16" ht="48">
      <c r="A356" s="19" t="s">
        <v>721</v>
      </c>
      <c r="B356" s="9" t="s">
        <v>122</v>
      </c>
      <c r="C356" s="9">
        <v>35</v>
      </c>
      <c r="D356" s="9"/>
      <c r="E356" s="9" t="s">
        <v>108</v>
      </c>
      <c r="F356" s="9" t="s">
        <v>351</v>
      </c>
      <c r="G356" s="9">
        <v>11</v>
      </c>
      <c r="H356" s="9"/>
      <c r="I356" s="9"/>
      <c r="J356" s="9"/>
      <c r="K356" s="9">
        <v>11</v>
      </c>
      <c r="L356" s="9">
        <v>4</v>
      </c>
      <c r="M356" s="9" t="s">
        <v>169</v>
      </c>
      <c r="N356" s="9" t="s">
        <v>170</v>
      </c>
      <c r="O356" s="31"/>
      <c r="P356" s="9" t="str">
        <f>HYPERLINK("http://www.stromypodkontrolou.cz/map/?draw_selection_circle=1#%7B%22lat%22%3A%2049.6820535218418%2C%20%22lng%22%3A%2018.6739754018305%2C%20%22zoom%22%3A%2020%7D")</f>
        <v>http://www.stromypodkontrolou.cz/map/?draw_selection_circle=1#%7B%22lat%22%3A%2049.6820535218418%2C%20%22lng%22%3A%2018.6739754018305%2C%20%22zoom%22%3A%2020%7D</v>
      </c>
    </row>
    <row r="357" spans="1:16" s="16" customFormat="1" ht="48">
      <c r="A357" s="18" t="s">
        <v>722</v>
      </c>
      <c r="B357" s="10" t="s">
        <v>16</v>
      </c>
      <c r="C357" s="10">
        <v>67</v>
      </c>
      <c r="D357" s="10"/>
      <c r="E357" s="10" t="s">
        <v>17</v>
      </c>
      <c r="F357" s="10" t="s">
        <v>185</v>
      </c>
      <c r="G357" s="10">
        <v>22</v>
      </c>
      <c r="H357" s="10"/>
      <c r="I357" s="10"/>
      <c r="J357" s="10"/>
      <c r="K357" s="10">
        <v>5</v>
      </c>
      <c r="L357" s="10">
        <v>6</v>
      </c>
      <c r="M357" s="10" t="s">
        <v>169</v>
      </c>
      <c r="N357" s="10" t="s">
        <v>170</v>
      </c>
      <c r="O357" s="31"/>
      <c r="P357" s="10" t="str">
        <f>HYPERLINK("http://www.stromypodkontrolou.cz/map/?draw_selection_circle=1#%7B%22lat%22%3A%2049.6712341555608%2C%20%22lng%22%3A%2018.6698026176961%2C%20%22zoom%22%3A%2020%7D")</f>
        <v>http://www.stromypodkontrolou.cz/map/?draw_selection_circle=1#%7B%22lat%22%3A%2049.6712341555608%2C%20%22lng%22%3A%2018.6698026176961%2C%20%22zoom%22%3A%2020%7D</v>
      </c>
    </row>
    <row r="358" spans="1:16" ht="48">
      <c r="A358" s="4" t="s">
        <v>723</v>
      </c>
      <c r="B358" s="9" t="s">
        <v>16</v>
      </c>
      <c r="C358" s="9">
        <v>68</v>
      </c>
      <c r="D358" s="9"/>
      <c r="E358" s="9" t="s">
        <v>17</v>
      </c>
      <c r="F358" s="9" t="s">
        <v>185</v>
      </c>
      <c r="G358" s="9">
        <v>23</v>
      </c>
      <c r="H358" s="9"/>
      <c r="I358" s="9"/>
      <c r="J358" s="9"/>
      <c r="K358" s="9">
        <v>5</v>
      </c>
      <c r="L358" s="9">
        <v>6</v>
      </c>
      <c r="M358" s="9" t="s">
        <v>169</v>
      </c>
      <c r="N358" s="9" t="s">
        <v>170</v>
      </c>
      <c r="O358" s="31"/>
      <c r="P358" s="9" t="str">
        <f>HYPERLINK("http://www.stromypodkontrolou.cz/map/?draw_selection_circle=1#%7B%22lat%22%3A%2049.671222210565%2C%20%22lng%22%3A%2018.6697341653391%2C%20%22zoom%22%3A%2020%7D")</f>
        <v>http://www.stromypodkontrolou.cz/map/?draw_selection_circle=1#%7B%22lat%22%3A%2049.671222210565%2C%20%22lng%22%3A%2018.6697341653391%2C%20%22zoom%22%3A%2020%7D</v>
      </c>
    </row>
    <row r="359" spans="1:16" ht="24">
      <c r="A359" s="5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 t="s">
        <v>191</v>
      </c>
      <c r="N359" s="9" t="s">
        <v>192</v>
      </c>
      <c r="O359" s="31"/>
      <c r="P359" s="9"/>
    </row>
    <row r="360" spans="1:16" s="16" customFormat="1" ht="48">
      <c r="A360" s="15" t="s">
        <v>724</v>
      </c>
      <c r="B360" s="10" t="s">
        <v>16</v>
      </c>
      <c r="C360" s="10">
        <v>52</v>
      </c>
      <c r="D360" s="10"/>
      <c r="E360" s="10" t="s">
        <v>21</v>
      </c>
      <c r="F360" s="10" t="s">
        <v>197</v>
      </c>
      <c r="G360" s="10">
        <v>19</v>
      </c>
      <c r="H360" s="10">
        <v>17</v>
      </c>
      <c r="I360" s="10"/>
      <c r="J360" s="10"/>
      <c r="K360" s="10">
        <v>16</v>
      </c>
      <c r="L360" s="10">
        <v>5</v>
      </c>
      <c r="M360" s="10" t="s">
        <v>191</v>
      </c>
      <c r="N360" s="10" t="s">
        <v>192</v>
      </c>
      <c r="O360" s="31"/>
      <c r="P360" s="10" t="str">
        <f>HYPERLINK("http://www.stromypodkontrolou.cz/map/?draw_selection_circle=1#%7B%22lat%22%3A%2049.6716952679558%2C%20%22lng%22%3A%2018.6705653997467%2C%20%22zoom%22%3A%2020%7D")</f>
        <v>http://www.stromypodkontrolou.cz/map/?draw_selection_circle=1#%7B%22lat%22%3A%2049.6716952679558%2C%20%22lng%22%3A%2018.6705653997467%2C%20%22zoom%22%3A%2020%7D</v>
      </c>
    </row>
    <row r="361" spans="1:16" s="16" customFormat="1" ht="12.75">
      <c r="A361" s="2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 t="s">
        <v>171</v>
      </c>
      <c r="N361" s="10" t="s">
        <v>172</v>
      </c>
      <c r="O361" s="31"/>
      <c r="P361" s="10"/>
    </row>
    <row r="362" spans="1:16" ht="48">
      <c r="A362" s="4" t="s">
        <v>725</v>
      </c>
      <c r="B362" s="9" t="s">
        <v>123</v>
      </c>
      <c r="C362" s="9">
        <v>26</v>
      </c>
      <c r="D362" s="9"/>
      <c r="E362" s="9" t="s">
        <v>24</v>
      </c>
      <c r="F362" s="9" t="s">
        <v>200</v>
      </c>
      <c r="G362" s="9">
        <v>18</v>
      </c>
      <c r="H362" s="9">
        <v>18</v>
      </c>
      <c r="I362" s="9">
        <v>17</v>
      </c>
      <c r="J362" s="9"/>
      <c r="K362" s="9">
        <v>13</v>
      </c>
      <c r="L362" s="9">
        <v>9</v>
      </c>
      <c r="M362" s="9" t="s">
        <v>169</v>
      </c>
      <c r="N362" s="9" t="s">
        <v>170</v>
      </c>
      <c r="O362" s="31"/>
      <c r="P362" s="9" t="str">
        <f>HYPERLINK("http://www.stromypodkontrolou.cz/map/?draw_selection_circle=1#%7B%22lat%22%3A%2049.6779723371%2C%20%22lng%22%3A%2018.6712173545%2C%20%22zoom%22%3A%2020%7D")</f>
        <v>http://www.stromypodkontrolou.cz/map/?draw_selection_circle=1#%7B%22lat%22%3A%2049.6779723371%2C%20%22lng%22%3A%2018.6712173545%2C%20%22zoom%22%3A%2020%7D</v>
      </c>
    </row>
    <row r="363" spans="1:16" ht="12.75">
      <c r="A363" s="5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 t="s">
        <v>171</v>
      </c>
      <c r="N363" s="9" t="s">
        <v>172</v>
      </c>
      <c r="O363" s="31"/>
      <c r="P363" s="9"/>
    </row>
    <row r="364" spans="1:16" s="16" customFormat="1" ht="48">
      <c r="A364" s="15" t="s">
        <v>726</v>
      </c>
      <c r="B364" s="10" t="s">
        <v>64</v>
      </c>
      <c r="C364" s="10">
        <v>85</v>
      </c>
      <c r="D364" s="10"/>
      <c r="E364" s="10" t="s">
        <v>108</v>
      </c>
      <c r="F364" s="10" t="s">
        <v>351</v>
      </c>
      <c r="G364" s="10">
        <v>19</v>
      </c>
      <c r="H364" s="10"/>
      <c r="I364" s="10"/>
      <c r="J364" s="10"/>
      <c r="K364" s="10">
        <v>16</v>
      </c>
      <c r="L364" s="10">
        <v>4</v>
      </c>
      <c r="M364" s="10" t="s">
        <v>191</v>
      </c>
      <c r="N364" s="10" t="s">
        <v>192</v>
      </c>
      <c r="O364" s="31"/>
      <c r="P364" s="10" t="str">
        <f>HYPERLINK("http://www.stromypodkontrolou.cz/map/?draw_selection_circle=1#%7B%22lat%22%3A%2049.6646403530428%2C%20%22lng%22%3A%2018.6869742028197%2C%20%22zoom%22%3A%2020%7D")</f>
        <v>http://www.stromypodkontrolou.cz/map/?draw_selection_circle=1#%7B%22lat%22%3A%2049.6646403530428%2C%20%22lng%22%3A%2018.6869742028197%2C%20%22zoom%22%3A%2020%7D</v>
      </c>
    </row>
    <row r="365" spans="1:16" s="16" customFormat="1" ht="12.75">
      <c r="A365" s="2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 t="s">
        <v>171</v>
      </c>
      <c r="N365" s="10" t="s">
        <v>172</v>
      </c>
      <c r="O365" s="31"/>
      <c r="P365" s="10"/>
    </row>
    <row r="366" spans="1:16" ht="48">
      <c r="A366" s="4" t="s">
        <v>727</v>
      </c>
      <c r="B366" s="9" t="s">
        <v>124</v>
      </c>
      <c r="C366" s="9">
        <v>19</v>
      </c>
      <c r="D366" s="9"/>
      <c r="E366" s="9" t="s">
        <v>28</v>
      </c>
      <c r="F366" s="9" t="s">
        <v>207</v>
      </c>
      <c r="G366" s="9">
        <v>19</v>
      </c>
      <c r="H366" s="9">
        <v>18</v>
      </c>
      <c r="I366" s="9">
        <v>5</v>
      </c>
      <c r="J366" s="9"/>
      <c r="K366" s="9">
        <v>7</v>
      </c>
      <c r="L366" s="9">
        <v>4</v>
      </c>
      <c r="M366" s="9" t="s">
        <v>169</v>
      </c>
      <c r="N366" s="9" t="s">
        <v>170</v>
      </c>
      <c r="O366" s="31"/>
      <c r="P366" s="9" t="str">
        <f>HYPERLINK("http://www.stromypodkontrolou.cz/map/?draw_selection_circle=1#%7B%22lat%22%3A%2049.663819187607%2C%20%22lng%22%3A%2018.6863341410798%2C%20%22zoom%22%3A%2020%7D")</f>
        <v>http://www.stromypodkontrolou.cz/map/?draw_selection_circle=1#%7B%22lat%22%3A%2049.663819187607%2C%20%22lng%22%3A%2018.6863341410798%2C%20%22zoom%22%3A%2020%7D</v>
      </c>
    </row>
    <row r="367" spans="1:16" ht="12.75">
      <c r="A367" s="5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 t="s">
        <v>171</v>
      </c>
      <c r="N367" s="9" t="s">
        <v>172</v>
      </c>
      <c r="O367" s="31"/>
      <c r="P367" s="9"/>
    </row>
    <row r="368" spans="1:16" s="16" customFormat="1" ht="48">
      <c r="A368" s="15" t="s">
        <v>728</v>
      </c>
      <c r="B368" s="10" t="s">
        <v>124</v>
      </c>
      <c r="C368" s="10">
        <v>16</v>
      </c>
      <c r="D368" s="10"/>
      <c r="E368" s="10" t="s">
        <v>67</v>
      </c>
      <c r="F368" s="10" t="s">
        <v>284</v>
      </c>
      <c r="G368" s="10">
        <v>18</v>
      </c>
      <c r="H368" s="10">
        <v>16</v>
      </c>
      <c r="I368" s="10"/>
      <c r="J368" s="10"/>
      <c r="K368" s="10">
        <v>13</v>
      </c>
      <c r="L368" s="10">
        <v>4</v>
      </c>
      <c r="M368" s="10" t="s">
        <v>171</v>
      </c>
      <c r="N368" s="10" t="s">
        <v>172</v>
      </c>
      <c r="O368" s="31"/>
      <c r="P368" s="10" t="str">
        <f>HYPERLINK("http://www.stromypodkontrolou.cz/map/?draw_selection_circle=1#%7B%22lat%22%3A%2049.6636972066741%2C%20%22lng%22%3A%2018.686244167917%2C%20%22zoom%22%3A%2020%7D")</f>
        <v>http://www.stromypodkontrolou.cz/map/?draw_selection_circle=1#%7B%22lat%22%3A%2049.6636972066741%2C%20%22lng%22%3A%2018.686244167917%2C%20%22zoom%22%3A%2020%7D</v>
      </c>
    </row>
    <row r="369" spans="1:16" s="16" customFormat="1" ht="12.75">
      <c r="A369" s="2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 t="s">
        <v>169</v>
      </c>
      <c r="N369" s="10" t="s">
        <v>170</v>
      </c>
      <c r="O369" s="31"/>
      <c r="P369" s="10"/>
    </row>
    <row r="370" spans="1:16" ht="48">
      <c r="A370" s="4" t="s">
        <v>729</v>
      </c>
      <c r="B370" s="9" t="s">
        <v>37</v>
      </c>
      <c r="C370" s="9">
        <v>52</v>
      </c>
      <c r="D370" s="9"/>
      <c r="E370" s="9" t="s">
        <v>125</v>
      </c>
      <c r="F370" s="9" t="s">
        <v>424</v>
      </c>
      <c r="G370" s="9">
        <v>21</v>
      </c>
      <c r="H370" s="9"/>
      <c r="I370" s="9"/>
      <c r="J370" s="9"/>
      <c r="K370" s="9">
        <v>12</v>
      </c>
      <c r="L370" s="9">
        <v>5</v>
      </c>
      <c r="M370" s="9" t="s">
        <v>191</v>
      </c>
      <c r="N370" s="9" t="s">
        <v>192</v>
      </c>
      <c r="O370" s="31"/>
      <c r="P370" s="9" t="str">
        <f>HYPERLINK("http://www.stromypodkontrolou.cz/map/?draw_selection_circle=1#%7B%22lat%22%3A%2049.6712686020962%2C%20%22lng%22%3A%2018.6787205890943%2C%20%22zoom%22%3A%2020%7D")</f>
        <v>http://www.stromypodkontrolou.cz/map/?draw_selection_circle=1#%7B%22lat%22%3A%2049.6712686020962%2C%20%22lng%22%3A%2018.6787205890943%2C%20%22zoom%22%3A%2020%7D</v>
      </c>
    </row>
    <row r="371" spans="1:16" ht="12.75">
      <c r="A371" s="5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 t="s">
        <v>171</v>
      </c>
      <c r="N371" s="9" t="s">
        <v>172</v>
      </c>
      <c r="O371" s="31"/>
      <c r="P371" s="9"/>
    </row>
    <row r="372" spans="1:16" s="16" customFormat="1" ht="48">
      <c r="A372" s="15" t="s">
        <v>730</v>
      </c>
      <c r="B372" s="10" t="s">
        <v>122</v>
      </c>
      <c r="C372" s="10">
        <v>36</v>
      </c>
      <c r="D372" s="10"/>
      <c r="E372" s="10" t="s">
        <v>108</v>
      </c>
      <c r="F372" s="10" t="s">
        <v>351</v>
      </c>
      <c r="G372" s="10">
        <v>9</v>
      </c>
      <c r="H372" s="10"/>
      <c r="I372" s="10"/>
      <c r="J372" s="10"/>
      <c r="K372" s="10">
        <v>10</v>
      </c>
      <c r="L372" s="10">
        <v>3</v>
      </c>
      <c r="M372" s="10" t="s">
        <v>169</v>
      </c>
      <c r="N372" s="10" t="s">
        <v>170</v>
      </c>
      <c r="O372" s="31"/>
      <c r="P372" s="10" t="str">
        <f>HYPERLINK("http://www.stromypodkontrolou.cz/map/?draw_selection_circle=1#%7B%22lat%22%3A%2049.6820457887549%2C%20%22lng%22%3A%2018.6739874076702%2C%20%22zoom%22%3A%2020%7D")</f>
        <v>http://www.stromypodkontrolou.cz/map/?draw_selection_circle=1#%7B%22lat%22%3A%2049.6820457887549%2C%20%22lng%22%3A%2018.6739874076702%2C%20%22zoom%22%3A%2020%7D</v>
      </c>
    </row>
    <row r="373" spans="1:16" s="16" customFormat="1" ht="12.75">
      <c r="A373" s="2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 t="s">
        <v>171</v>
      </c>
      <c r="N373" s="10" t="s">
        <v>172</v>
      </c>
      <c r="O373" s="31"/>
      <c r="P373" s="10"/>
    </row>
    <row r="374" spans="1:16" ht="48">
      <c r="A374" s="4" t="s">
        <v>731</v>
      </c>
      <c r="B374" s="9" t="s">
        <v>122</v>
      </c>
      <c r="C374" s="9">
        <v>40</v>
      </c>
      <c r="D374" s="9"/>
      <c r="E374" s="9" t="s">
        <v>108</v>
      </c>
      <c r="F374" s="9" t="s">
        <v>351</v>
      </c>
      <c r="G374" s="9">
        <v>17</v>
      </c>
      <c r="H374" s="9">
        <v>11</v>
      </c>
      <c r="I374" s="9"/>
      <c r="J374" s="9"/>
      <c r="K374" s="9">
        <v>16</v>
      </c>
      <c r="L374" s="9">
        <v>7</v>
      </c>
      <c r="M374" s="9" t="s">
        <v>218</v>
      </c>
      <c r="N374" s="9" t="s">
        <v>219</v>
      </c>
      <c r="O374" s="31"/>
      <c r="P374" s="9" t="str">
        <f>HYPERLINK("http://www.stromypodkontrolou.cz/map/?draw_selection_circle=1#%7B%22lat%22%3A%2049.6820291346%2C%20%22lng%22%3A%2018.6740575643%2C%20%22zoom%22%3A%2020%7D")</f>
        <v>http://www.stromypodkontrolou.cz/map/?draw_selection_circle=1#%7B%22lat%22%3A%2049.6820291346%2C%20%22lng%22%3A%2018.6740575643%2C%20%22zoom%22%3A%2020%7D</v>
      </c>
    </row>
    <row r="375" spans="1:16" ht="12.75">
      <c r="A375" s="5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 t="s">
        <v>171</v>
      </c>
      <c r="N375" s="9" t="s">
        <v>172</v>
      </c>
      <c r="O375" s="31"/>
      <c r="P375" s="9"/>
    </row>
    <row r="376" spans="1:16" s="16" customFormat="1" ht="48">
      <c r="A376" s="15" t="s">
        <v>732</v>
      </c>
      <c r="B376" s="10" t="s">
        <v>73</v>
      </c>
      <c r="C376" s="10">
        <v>157</v>
      </c>
      <c r="D376" s="10"/>
      <c r="E376" s="10" t="s">
        <v>14</v>
      </c>
      <c r="F376" s="10" t="s">
        <v>180</v>
      </c>
      <c r="G376" s="10">
        <v>8</v>
      </c>
      <c r="H376" s="10"/>
      <c r="I376" s="10"/>
      <c r="J376" s="10"/>
      <c r="K376" s="10">
        <v>8</v>
      </c>
      <c r="L376" s="10">
        <v>2</v>
      </c>
      <c r="M376" s="10" t="s">
        <v>171</v>
      </c>
      <c r="N376" s="10" t="s">
        <v>172</v>
      </c>
      <c r="O376" s="31"/>
      <c r="P376" s="10" t="str">
        <f>HYPERLINK("http://www.stromypodkontrolou.cz/map/?draw_selection_circle=1#%7B%22lat%22%3A%2049.663575622387%2C%20%22lng%22%3A%2018.6784134925797%2C%20%22zoom%22%3A%2020%7D")</f>
        <v>http://www.stromypodkontrolou.cz/map/?draw_selection_circle=1#%7B%22lat%22%3A%2049.663575622387%2C%20%22lng%22%3A%2018.6784134925797%2C%20%22zoom%22%3A%2020%7D</v>
      </c>
    </row>
    <row r="377" spans="1:16" s="16" customFormat="1" ht="12.75">
      <c r="A377" s="2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 t="s">
        <v>169</v>
      </c>
      <c r="N377" s="10" t="s">
        <v>170</v>
      </c>
      <c r="O377" s="31"/>
      <c r="P377" s="10"/>
    </row>
    <row r="378" spans="1:16" ht="48">
      <c r="A378" s="4" t="s">
        <v>733</v>
      </c>
      <c r="B378" s="9" t="s">
        <v>73</v>
      </c>
      <c r="C378" s="9">
        <v>214</v>
      </c>
      <c r="D378" s="9"/>
      <c r="E378" s="9" t="s">
        <v>21</v>
      </c>
      <c r="F378" s="9" t="s">
        <v>197</v>
      </c>
      <c r="G378" s="9">
        <v>31</v>
      </c>
      <c r="H378" s="9"/>
      <c r="I378" s="9"/>
      <c r="J378" s="9"/>
      <c r="K378" s="9">
        <v>16</v>
      </c>
      <c r="L378" s="9">
        <v>5</v>
      </c>
      <c r="M378" s="9" t="s">
        <v>171</v>
      </c>
      <c r="N378" s="9" t="s">
        <v>172</v>
      </c>
      <c r="O378" s="31"/>
      <c r="P378" s="9" t="str">
        <f>HYPERLINK("http://www.stromypodkontrolou.cz/map/?draw_selection_circle=1#%7B%22lat%22%3A%2049.6637318956999%2C%20%22lng%22%3A%2018.6796860793982%2C%20%22zoom%22%3A%2020%7D")</f>
        <v>http://www.stromypodkontrolou.cz/map/?draw_selection_circle=1#%7B%22lat%22%3A%2049.6637318956999%2C%20%22lng%22%3A%2018.6796860793982%2C%20%22zoom%22%3A%2020%7D</v>
      </c>
    </row>
    <row r="379" spans="1:16" ht="12.75">
      <c r="A379" s="5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 t="s">
        <v>218</v>
      </c>
      <c r="N379" s="9" t="s">
        <v>219</v>
      </c>
      <c r="O379" s="31"/>
      <c r="P379" s="9"/>
    </row>
    <row r="380" spans="1:16" s="16" customFormat="1" ht="48">
      <c r="A380" s="15" t="s">
        <v>734</v>
      </c>
      <c r="B380" s="10" t="s">
        <v>19</v>
      </c>
      <c r="C380" s="10">
        <v>14</v>
      </c>
      <c r="D380" s="10"/>
      <c r="E380" s="10" t="s">
        <v>21</v>
      </c>
      <c r="F380" s="10" t="s">
        <v>197</v>
      </c>
      <c r="G380" s="10">
        <v>21</v>
      </c>
      <c r="H380" s="10"/>
      <c r="I380" s="10"/>
      <c r="J380" s="10"/>
      <c r="K380" s="10">
        <v>21</v>
      </c>
      <c r="L380" s="10">
        <v>4</v>
      </c>
      <c r="M380" s="10" t="s">
        <v>191</v>
      </c>
      <c r="N380" s="10" t="s">
        <v>192</v>
      </c>
      <c r="O380" s="31"/>
      <c r="P380" s="10" t="str">
        <f>HYPERLINK("http://www.stromypodkontrolou.cz/map/?draw_selection_circle=1#%7B%22lat%22%3A%2049.6700050593945%2C%20%22lng%22%3A%2018.6620634361125%2C%20%22zoom%22%3A%2020%7D")</f>
        <v>http://www.stromypodkontrolou.cz/map/?draw_selection_circle=1#%7B%22lat%22%3A%2049.6700050593945%2C%20%22lng%22%3A%2018.6620634361125%2C%20%22zoom%22%3A%2020%7D</v>
      </c>
    </row>
    <row r="381" spans="1:16" s="16" customFormat="1" ht="12.75">
      <c r="A381" s="2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 t="s">
        <v>171</v>
      </c>
      <c r="N381" s="10" t="s">
        <v>172</v>
      </c>
      <c r="O381" s="31"/>
      <c r="P381" s="10"/>
    </row>
    <row r="382" spans="1:16" ht="48">
      <c r="A382" s="4" t="s">
        <v>735</v>
      </c>
      <c r="B382" s="9" t="s">
        <v>19</v>
      </c>
      <c r="C382" s="9">
        <v>30</v>
      </c>
      <c r="D382" s="9"/>
      <c r="E382" s="9" t="s">
        <v>14</v>
      </c>
      <c r="F382" s="9" t="s">
        <v>180</v>
      </c>
      <c r="G382" s="9">
        <v>21</v>
      </c>
      <c r="H382" s="9"/>
      <c r="I382" s="9"/>
      <c r="J382" s="9"/>
      <c r="K382" s="9">
        <v>12</v>
      </c>
      <c r="L382" s="9">
        <v>4</v>
      </c>
      <c r="M382" s="9" t="s">
        <v>224</v>
      </c>
      <c r="N382" s="9" t="s">
        <v>225</v>
      </c>
      <c r="O382" s="31"/>
      <c r="P382" s="9" t="str">
        <f>HYPERLINK("http://www.stromypodkontrolou.cz/map/?draw_selection_circle=1#%7B%22lat%22%3A%2049.6702034823%2C%20%22lng%22%3A%2018.6623625274%2C%20%22zoom%22%3A%2020%7D")</f>
        <v>http://www.stromypodkontrolou.cz/map/?draw_selection_circle=1#%7B%22lat%22%3A%2049.6702034823%2C%20%22lng%22%3A%2018.6623625274%2C%20%22zoom%22%3A%2020%7D</v>
      </c>
    </row>
    <row r="383" spans="1:16" ht="12.75">
      <c r="A383" s="5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 t="s">
        <v>171</v>
      </c>
      <c r="N383" s="9" t="s">
        <v>172</v>
      </c>
      <c r="O383" s="31"/>
      <c r="P383" s="9"/>
    </row>
    <row r="384" spans="1:16" s="16" customFormat="1" ht="48">
      <c r="A384" s="15" t="s">
        <v>736</v>
      </c>
      <c r="B384" s="10" t="s">
        <v>19</v>
      </c>
      <c r="C384" s="10">
        <v>29</v>
      </c>
      <c r="D384" s="10"/>
      <c r="E384" s="10" t="s">
        <v>14</v>
      </c>
      <c r="F384" s="10" t="s">
        <v>180</v>
      </c>
      <c r="G384" s="10">
        <v>18</v>
      </c>
      <c r="H384" s="10"/>
      <c r="I384" s="10"/>
      <c r="J384" s="10"/>
      <c r="K384" s="10">
        <v>12</v>
      </c>
      <c r="L384" s="10">
        <v>4</v>
      </c>
      <c r="M384" s="10" t="s">
        <v>224</v>
      </c>
      <c r="N384" s="10" t="s">
        <v>225</v>
      </c>
      <c r="O384" s="31"/>
      <c r="P384" s="10" t="str">
        <f>HYPERLINK("http://www.stromypodkontrolou.cz/map/?draw_selection_circle=1#%7B%22lat%22%3A%2049.6702161918%2C%20%22lng%22%3A%2018.6623718779%2C%20%22zoom%22%3A%2020%7D")</f>
        <v>http://www.stromypodkontrolou.cz/map/?draw_selection_circle=1#%7B%22lat%22%3A%2049.6702161918%2C%20%22lng%22%3A%2018.6623718779%2C%20%22zoom%22%3A%2020%7D</v>
      </c>
    </row>
    <row r="385" spans="1:16" s="16" customFormat="1" ht="12.75">
      <c r="A385" s="2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 t="s">
        <v>171</v>
      </c>
      <c r="N385" s="10" t="s">
        <v>172</v>
      </c>
      <c r="O385" s="31"/>
      <c r="P385" s="10"/>
    </row>
    <row r="386" spans="1:16" ht="48">
      <c r="A386" s="4" t="s">
        <v>737</v>
      </c>
      <c r="B386" s="9" t="s">
        <v>19</v>
      </c>
      <c r="C386" s="9">
        <v>38</v>
      </c>
      <c r="D386" s="9"/>
      <c r="E386" s="9" t="s">
        <v>14</v>
      </c>
      <c r="F386" s="9" t="s">
        <v>180</v>
      </c>
      <c r="G386" s="9">
        <v>12</v>
      </c>
      <c r="H386" s="9"/>
      <c r="I386" s="9"/>
      <c r="J386" s="9"/>
      <c r="K386" s="9">
        <v>9</v>
      </c>
      <c r="L386" s="9">
        <v>3</v>
      </c>
      <c r="M386" s="9" t="s">
        <v>224</v>
      </c>
      <c r="N386" s="9" t="s">
        <v>225</v>
      </c>
      <c r="O386" s="31"/>
      <c r="P386" s="9" t="str">
        <f>HYPERLINK("http://www.stromypodkontrolou.cz/map/?draw_selection_circle=1#%7B%22lat%22%3A%2049.6702632009%2C%20%22lng%22%3A%2018.6623963948%2C%20%22zoom%22%3A%2020%7D")</f>
        <v>http://www.stromypodkontrolou.cz/map/?draw_selection_circle=1#%7B%22lat%22%3A%2049.6702632009%2C%20%22lng%22%3A%2018.6623963948%2C%20%22zoom%22%3A%2020%7D</v>
      </c>
    </row>
    <row r="387" spans="1:16" ht="12.75">
      <c r="A387" s="5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 t="s">
        <v>171</v>
      </c>
      <c r="N387" s="9" t="s">
        <v>172</v>
      </c>
      <c r="O387" s="31"/>
      <c r="P387" s="9"/>
    </row>
    <row r="388" spans="1:16" s="16" customFormat="1" ht="48">
      <c r="A388" s="18" t="s">
        <v>738</v>
      </c>
      <c r="B388" s="10" t="s">
        <v>19</v>
      </c>
      <c r="C388" s="10">
        <v>40</v>
      </c>
      <c r="D388" s="10"/>
      <c r="E388" s="10" t="s">
        <v>14</v>
      </c>
      <c r="F388" s="10" t="s">
        <v>180</v>
      </c>
      <c r="G388" s="10">
        <v>16</v>
      </c>
      <c r="H388" s="10">
        <v>12</v>
      </c>
      <c r="I388" s="10">
        <v>6</v>
      </c>
      <c r="J388" s="10"/>
      <c r="K388" s="10">
        <v>13</v>
      </c>
      <c r="L388" s="10">
        <v>5</v>
      </c>
      <c r="M388" s="10" t="s">
        <v>191</v>
      </c>
      <c r="N388" s="10" t="s">
        <v>192</v>
      </c>
      <c r="O388" s="31"/>
      <c r="P388" s="10" t="str">
        <f>HYPERLINK("http://www.stromypodkontrolou.cz/map/?draw_selection_circle=1#%7B%22lat%22%3A%2049.6702745335239%2C%20%22lng%22%3A%2018.6624016888624%2C%20%22zoom%22%3A%2020%7D")</f>
        <v>http://www.stromypodkontrolou.cz/map/?draw_selection_circle=1#%7B%22lat%22%3A%2049.6702745335239%2C%20%22lng%22%3A%2018.6624016888624%2C%20%22zoom%22%3A%2020%7D</v>
      </c>
    </row>
    <row r="389" spans="1:16" ht="48">
      <c r="A389" s="4" t="s">
        <v>739</v>
      </c>
      <c r="B389" s="25" t="s">
        <v>51</v>
      </c>
      <c r="C389" s="25">
        <v>6</v>
      </c>
      <c r="D389" s="25"/>
      <c r="E389" s="25" t="s">
        <v>21</v>
      </c>
      <c r="F389" s="25" t="s">
        <v>197</v>
      </c>
      <c r="G389" s="25">
        <v>25</v>
      </c>
      <c r="H389" s="25"/>
      <c r="I389" s="25"/>
      <c r="J389" s="25"/>
      <c r="K389" s="25">
        <v>19</v>
      </c>
      <c r="L389" s="25">
        <v>5</v>
      </c>
      <c r="M389" s="9" t="s">
        <v>169</v>
      </c>
      <c r="N389" s="9" t="s">
        <v>170</v>
      </c>
      <c r="O389" s="31"/>
      <c r="P389" s="25" t="str">
        <f>HYPERLINK("http://www.stromypodkontrolou.cz/map/?draw_selection_circle=1#%7B%22lat%22%3A%2049.6646403627581%2C%20%22lng%22%3A%2018.6833383705161%2C%20%22zoom%22%3A%2020%7D")</f>
        <v>http://www.stromypodkontrolou.cz/map/?draw_selection_circle=1#%7B%22lat%22%3A%2049.6646403627581%2C%20%22lng%22%3A%2018.6833383705161%2C%20%22zoom%22%3A%2020%7D</v>
      </c>
    </row>
    <row r="390" spans="1:16" ht="12.75">
      <c r="A390" s="5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11" t="s">
        <v>171</v>
      </c>
      <c r="N390" s="11" t="s">
        <v>172</v>
      </c>
      <c r="O390" s="31"/>
      <c r="P390" s="26"/>
    </row>
    <row r="391" spans="1:16" s="16" customFormat="1" ht="48">
      <c r="A391" s="15" t="s">
        <v>740</v>
      </c>
      <c r="B391" s="10" t="s">
        <v>51</v>
      </c>
      <c r="C391" s="10">
        <v>4</v>
      </c>
      <c r="D391" s="10"/>
      <c r="E391" s="10" t="s">
        <v>14</v>
      </c>
      <c r="F391" s="10" t="s">
        <v>180</v>
      </c>
      <c r="G391" s="10">
        <v>23</v>
      </c>
      <c r="H391" s="10"/>
      <c r="I391" s="10"/>
      <c r="J391" s="10"/>
      <c r="K391" s="10">
        <v>13</v>
      </c>
      <c r="L391" s="10">
        <v>5</v>
      </c>
      <c r="M391" s="10" t="s">
        <v>169</v>
      </c>
      <c r="N391" s="10" t="s">
        <v>170</v>
      </c>
      <c r="O391" s="31"/>
      <c r="P391" s="10" t="str">
        <f>HYPERLINK("http://www.stromypodkontrolou.cz/map/?draw_selection_circle=1#%7B%22lat%22%3A%2049.6646731239%2C%20%22lng%22%3A%2018.6834170922%2C%20%22zoom%22%3A%2020%7D")</f>
        <v>http://www.stromypodkontrolou.cz/map/?draw_selection_circle=1#%7B%22lat%22%3A%2049.6646731239%2C%20%22lng%22%3A%2018.6834170922%2C%20%22zoom%22%3A%2020%7D</v>
      </c>
    </row>
    <row r="392" spans="1:16" s="16" customFormat="1" ht="12.75">
      <c r="A392" s="2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 t="s">
        <v>171</v>
      </c>
      <c r="N392" s="10" t="s">
        <v>172</v>
      </c>
      <c r="O392" s="31"/>
      <c r="P392" s="10"/>
    </row>
    <row r="393" spans="1:16" ht="48">
      <c r="A393" s="4" t="s">
        <v>741</v>
      </c>
      <c r="B393" s="9" t="s">
        <v>126</v>
      </c>
      <c r="C393" s="9">
        <v>5</v>
      </c>
      <c r="D393" s="9"/>
      <c r="E393" s="9" t="s">
        <v>31</v>
      </c>
      <c r="F393" s="9" t="s">
        <v>213</v>
      </c>
      <c r="G393" s="9">
        <v>16</v>
      </c>
      <c r="H393" s="9"/>
      <c r="I393" s="9"/>
      <c r="J393" s="9"/>
      <c r="K393" s="9">
        <v>7</v>
      </c>
      <c r="L393" s="9">
        <v>4</v>
      </c>
      <c r="M393" s="9" t="s">
        <v>432</v>
      </c>
      <c r="N393" s="9" t="s">
        <v>433</v>
      </c>
      <c r="O393" s="31"/>
      <c r="P393" s="9" t="str">
        <f>HYPERLINK("http://www.stromypodkontrolou.cz/map/?draw_selection_circle=1#%7B%22lat%22%3A%2049.670042063136%2C%20%22lng%22%3A%2018.681002696151%2C%20%22zoom%22%3A%2020%7D")</f>
        <v>http://www.stromypodkontrolou.cz/map/?draw_selection_circle=1#%7B%22lat%22%3A%2049.670042063136%2C%20%22lng%22%3A%2018.681002696151%2C%20%22zoom%22%3A%2020%7D</v>
      </c>
    </row>
    <row r="394" spans="1:16" ht="12.75">
      <c r="A394" s="5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 t="s">
        <v>169</v>
      </c>
      <c r="N394" s="9" t="s">
        <v>170</v>
      </c>
      <c r="O394" s="31"/>
      <c r="P394" s="9"/>
    </row>
    <row r="395" spans="1:16" s="16" customFormat="1" ht="48">
      <c r="A395" s="15" t="s">
        <v>742</v>
      </c>
      <c r="B395" s="10" t="s">
        <v>126</v>
      </c>
      <c r="C395" s="10">
        <v>4</v>
      </c>
      <c r="D395" s="10"/>
      <c r="E395" s="10" t="s">
        <v>31</v>
      </c>
      <c r="F395" s="10" t="s">
        <v>213</v>
      </c>
      <c r="G395" s="10">
        <v>17</v>
      </c>
      <c r="H395" s="10"/>
      <c r="I395" s="10"/>
      <c r="J395" s="10"/>
      <c r="K395" s="10">
        <v>6</v>
      </c>
      <c r="L395" s="10">
        <v>3</v>
      </c>
      <c r="M395" s="10" t="s">
        <v>432</v>
      </c>
      <c r="N395" s="10" t="s">
        <v>433</v>
      </c>
      <c r="O395" s="31"/>
      <c r="P395" s="10" t="str">
        <f>HYPERLINK("http://www.stromypodkontrolou.cz/map/?draw_selection_circle=1#%7B%22lat%22%3A%2049.6700286888538%2C%20%22lng%22%3A%2018.6810123753831%2C%20%22zoom%22%3A%2020%7D")</f>
        <v>http://www.stromypodkontrolou.cz/map/?draw_selection_circle=1#%7B%22lat%22%3A%2049.6700286888538%2C%20%22lng%22%3A%2018.6810123753831%2C%20%22zoom%22%3A%2020%7D</v>
      </c>
    </row>
    <row r="396" spans="1:16" s="16" customFormat="1" ht="12.75">
      <c r="A396" s="2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 t="s">
        <v>169</v>
      </c>
      <c r="N396" s="10" t="s">
        <v>170</v>
      </c>
      <c r="O396" s="31"/>
      <c r="P396" s="10"/>
    </row>
    <row r="397" spans="1:16" ht="48">
      <c r="A397" s="19" t="s">
        <v>743</v>
      </c>
      <c r="B397" s="9" t="s">
        <v>127</v>
      </c>
      <c r="C397" s="9">
        <v>1</v>
      </c>
      <c r="D397" s="9"/>
      <c r="E397" s="9" t="s">
        <v>21</v>
      </c>
      <c r="F397" s="9" t="s">
        <v>197</v>
      </c>
      <c r="G397" s="9">
        <v>20</v>
      </c>
      <c r="H397" s="9">
        <v>14</v>
      </c>
      <c r="I397" s="9">
        <v>4</v>
      </c>
      <c r="J397" s="9"/>
      <c r="K397" s="9">
        <v>11</v>
      </c>
      <c r="L397" s="9">
        <v>7</v>
      </c>
      <c r="M397" s="9" t="s">
        <v>169</v>
      </c>
      <c r="N397" s="9" t="s">
        <v>170</v>
      </c>
      <c r="O397" s="31"/>
      <c r="P397" s="9" t="str">
        <f>HYPERLINK("http://www.stromypodkontrolou.cz/map/?draw_selection_circle=1#%7B%22lat%22%3A%2049.6694701071%2C%20%22lng%22%3A%2018.6630011084%2C%20%22zoom%22%3A%2020%7D")</f>
        <v>http://www.stromypodkontrolou.cz/map/?draw_selection_circle=1#%7B%22lat%22%3A%2049.6694701071%2C%20%22lng%22%3A%2018.6630011084%2C%20%22zoom%22%3A%2020%7D</v>
      </c>
    </row>
    <row r="398" spans="1:16" s="16" customFormat="1" ht="48">
      <c r="A398" s="18" t="s">
        <v>744</v>
      </c>
      <c r="B398" s="10" t="s">
        <v>127</v>
      </c>
      <c r="C398" s="10">
        <v>2</v>
      </c>
      <c r="D398" s="10"/>
      <c r="E398" s="10" t="s">
        <v>21</v>
      </c>
      <c r="F398" s="10" t="s">
        <v>197</v>
      </c>
      <c r="G398" s="10">
        <v>19</v>
      </c>
      <c r="H398" s="10"/>
      <c r="I398" s="10"/>
      <c r="J398" s="10"/>
      <c r="K398" s="10">
        <v>12</v>
      </c>
      <c r="L398" s="10">
        <v>7</v>
      </c>
      <c r="M398" s="10" t="s">
        <v>169</v>
      </c>
      <c r="N398" s="10" t="s">
        <v>170</v>
      </c>
      <c r="O398" s="31"/>
      <c r="P398" s="10" t="str">
        <f>HYPERLINK("http://www.stromypodkontrolou.cz/map/?draw_selection_circle=1#%7B%22lat%22%3A%2049.6695054764%2C%20%22lng%22%3A%2018.6630148547%2C%20%22zoom%22%3A%2020%7D")</f>
        <v>http://www.stromypodkontrolou.cz/map/?draw_selection_circle=1#%7B%22lat%22%3A%2049.6695054764%2C%20%22lng%22%3A%2018.6630148547%2C%20%22zoom%22%3A%2020%7D</v>
      </c>
    </row>
    <row r="399" spans="1:16" ht="48">
      <c r="A399" s="19" t="s">
        <v>745</v>
      </c>
      <c r="B399" s="9" t="s">
        <v>127</v>
      </c>
      <c r="C399" s="9">
        <v>4</v>
      </c>
      <c r="D399" s="9"/>
      <c r="E399" s="9" t="s">
        <v>21</v>
      </c>
      <c r="F399" s="9" t="s">
        <v>197</v>
      </c>
      <c r="G399" s="9">
        <v>21</v>
      </c>
      <c r="H399" s="9">
        <v>19</v>
      </c>
      <c r="I399" s="9"/>
      <c r="J399" s="9"/>
      <c r="K399" s="9">
        <v>14</v>
      </c>
      <c r="L399" s="9">
        <v>8</v>
      </c>
      <c r="M399" s="9" t="s">
        <v>191</v>
      </c>
      <c r="N399" s="9" t="s">
        <v>192</v>
      </c>
      <c r="O399" s="31"/>
      <c r="P399" s="9" t="str">
        <f>HYPERLINK("http://www.stromypodkontrolou.cz/map/?draw_selection_circle=1#%7B%22lat%22%3A%2049.6695747260585%2C%20%22lng%22%3A%2018.6630363939672%2C%20%22zoom%22%3A%2020%7D")</f>
        <v>http://www.stromypodkontrolou.cz/map/?draw_selection_circle=1#%7B%22lat%22%3A%2049.6695747260585%2C%20%22lng%22%3A%2018.6630363939672%2C%20%22zoom%22%3A%2020%7D</v>
      </c>
    </row>
    <row r="400" spans="1:16" s="16" customFormat="1" ht="48">
      <c r="A400" s="18" t="s">
        <v>746</v>
      </c>
      <c r="B400" s="10" t="s">
        <v>127</v>
      </c>
      <c r="C400" s="10">
        <v>5</v>
      </c>
      <c r="D400" s="10"/>
      <c r="E400" s="10" t="s">
        <v>21</v>
      </c>
      <c r="F400" s="10" t="s">
        <v>197</v>
      </c>
      <c r="G400" s="10">
        <v>22</v>
      </c>
      <c r="H400" s="10">
        <v>20</v>
      </c>
      <c r="I400" s="10">
        <v>15</v>
      </c>
      <c r="J400" s="10"/>
      <c r="K400" s="10">
        <v>14</v>
      </c>
      <c r="L400" s="10">
        <v>9</v>
      </c>
      <c r="M400" s="10" t="s">
        <v>191</v>
      </c>
      <c r="N400" s="10" t="s">
        <v>192</v>
      </c>
      <c r="O400" s="31"/>
      <c r="P400" s="10" t="str">
        <f>HYPERLINK("http://www.stromypodkontrolou.cz/map/?draw_selection_circle=1#%7B%22lat%22%3A%2049.6696193362045%2C%20%22lng%22%3A%2018.6630538324147%2C%20%22zoom%22%3A%2020%7D")</f>
        <v>http://www.stromypodkontrolou.cz/map/?draw_selection_circle=1#%7B%22lat%22%3A%2049.6696193362045%2C%20%22lng%22%3A%2018.6630538324147%2C%20%22zoom%22%3A%2020%7D</v>
      </c>
    </row>
    <row r="401" spans="1:16" ht="48">
      <c r="A401" s="19" t="s">
        <v>747</v>
      </c>
      <c r="B401" s="9" t="s">
        <v>127</v>
      </c>
      <c r="C401" s="9">
        <v>6</v>
      </c>
      <c r="D401" s="9"/>
      <c r="E401" s="9" t="s">
        <v>21</v>
      </c>
      <c r="F401" s="9" t="s">
        <v>197</v>
      </c>
      <c r="G401" s="9">
        <v>16</v>
      </c>
      <c r="H401" s="9"/>
      <c r="I401" s="9"/>
      <c r="J401" s="9"/>
      <c r="K401" s="9">
        <v>12</v>
      </c>
      <c r="L401" s="9">
        <v>6</v>
      </c>
      <c r="M401" s="9" t="s">
        <v>169</v>
      </c>
      <c r="N401" s="9" t="s">
        <v>170</v>
      </c>
      <c r="O401" s="31"/>
      <c r="P401" s="9" t="str">
        <f>HYPERLINK("http://www.stromypodkontrolou.cz/map/?draw_selection_circle=1#%7B%22lat%22%3A%2049.6697292456%2C%20%22lng%22%3A%2018.6630859084%2C%20%22zoom%22%3A%2020%7D")</f>
        <v>http://www.stromypodkontrolou.cz/map/?draw_selection_circle=1#%7B%22lat%22%3A%2049.6697292456%2C%20%22lng%22%3A%2018.6630859084%2C%20%22zoom%22%3A%2020%7D</v>
      </c>
    </row>
    <row r="402" spans="1:16" s="16" customFormat="1" ht="48">
      <c r="A402" s="18" t="s">
        <v>748</v>
      </c>
      <c r="B402" s="10" t="s">
        <v>127</v>
      </c>
      <c r="C402" s="10">
        <v>7</v>
      </c>
      <c r="D402" s="10"/>
      <c r="E402" s="10" t="s">
        <v>21</v>
      </c>
      <c r="F402" s="10" t="s">
        <v>197</v>
      </c>
      <c r="G402" s="10">
        <v>23</v>
      </c>
      <c r="H402" s="10"/>
      <c r="I402" s="10"/>
      <c r="J402" s="10"/>
      <c r="K402" s="10">
        <v>15</v>
      </c>
      <c r="L402" s="10">
        <v>6</v>
      </c>
      <c r="M402" s="10" t="s">
        <v>191</v>
      </c>
      <c r="N402" s="10" t="s">
        <v>192</v>
      </c>
      <c r="O402" s="31"/>
      <c r="P402" s="10" t="str">
        <f>HYPERLINK("http://www.stromypodkontrolou.cz/map/?draw_selection_circle=1#%7B%22lat%22%3A%2049.6697611425854%2C%20%22lng%22%3A%2018.6630986886173%2C%20%22zoom%22%3A%2020%7D")</f>
        <v>http://www.stromypodkontrolou.cz/map/?draw_selection_circle=1#%7B%22lat%22%3A%2049.6697611425854%2C%20%22lng%22%3A%2018.6630986886173%2C%20%22zoom%22%3A%2020%7D</v>
      </c>
    </row>
    <row r="403" spans="1:16" ht="48">
      <c r="A403" s="19" t="s">
        <v>749</v>
      </c>
      <c r="B403" s="9" t="s">
        <v>127</v>
      </c>
      <c r="C403" s="9">
        <v>10</v>
      </c>
      <c r="D403" s="9"/>
      <c r="E403" s="9" t="s">
        <v>21</v>
      </c>
      <c r="F403" s="9" t="s">
        <v>197</v>
      </c>
      <c r="G403" s="9">
        <v>13</v>
      </c>
      <c r="H403" s="9">
        <v>12</v>
      </c>
      <c r="I403" s="9"/>
      <c r="J403" s="9"/>
      <c r="K403" s="9">
        <v>14</v>
      </c>
      <c r="L403" s="9">
        <v>7</v>
      </c>
      <c r="M403" s="9" t="s">
        <v>191</v>
      </c>
      <c r="N403" s="9" t="s">
        <v>192</v>
      </c>
      <c r="O403" s="31"/>
      <c r="P403" s="9" t="str">
        <f>HYPERLINK("http://www.stromypodkontrolou.cz/map/?draw_selection_circle=1#%7B%22lat%22%3A%2049.6698840822587%2C%20%22lng%22%3A%2018.6631368776961%2C%20%22zoom%22%3A%2020%7D")</f>
        <v>http://www.stromypodkontrolou.cz/map/?draw_selection_circle=1#%7B%22lat%22%3A%2049.6698840822587%2C%20%22lng%22%3A%2018.6631368776961%2C%20%22zoom%22%3A%2020%7D</v>
      </c>
    </row>
    <row r="404" spans="1:16" s="16" customFormat="1" ht="48">
      <c r="A404" s="18" t="s">
        <v>750</v>
      </c>
      <c r="B404" s="10" t="s">
        <v>127</v>
      </c>
      <c r="C404" s="10">
        <v>11</v>
      </c>
      <c r="D404" s="10"/>
      <c r="E404" s="10" t="s">
        <v>21</v>
      </c>
      <c r="F404" s="10" t="s">
        <v>197</v>
      </c>
      <c r="G404" s="10">
        <v>20</v>
      </c>
      <c r="H404" s="10">
        <v>13</v>
      </c>
      <c r="I404" s="10"/>
      <c r="J404" s="10"/>
      <c r="K404" s="10">
        <v>14</v>
      </c>
      <c r="L404" s="10">
        <v>7</v>
      </c>
      <c r="M404" s="10" t="s">
        <v>191</v>
      </c>
      <c r="N404" s="10" t="s">
        <v>192</v>
      </c>
      <c r="O404" s="31"/>
      <c r="P404" s="10" t="str">
        <f>HYPERLINK("http://www.stromypodkontrolou.cz/map/?draw_selection_circle=1#%7B%22lat%22%3A%2049.6698993395821%2C%20%22lng%22%3A%2018.6631418821857%2C%20%22zoom%22%3A%2020%7D")</f>
        <v>http://www.stromypodkontrolou.cz/map/?draw_selection_circle=1#%7B%22lat%22%3A%2049.6698993395821%2C%20%22lng%22%3A%2018.6631418821857%2C%20%22zoom%22%3A%2020%7D</v>
      </c>
    </row>
    <row r="405" spans="1:16" ht="48">
      <c r="A405" s="19" t="s">
        <v>751</v>
      </c>
      <c r="B405" s="9" t="s">
        <v>127</v>
      </c>
      <c r="C405" s="9">
        <v>12</v>
      </c>
      <c r="D405" s="9"/>
      <c r="E405" s="9" t="s">
        <v>21</v>
      </c>
      <c r="F405" s="9" t="s">
        <v>197</v>
      </c>
      <c r="G405" s="9">
        <v>17</v>
      </c>
      <c r="H405" s="9">
        <v>9</v>
      </c>
      <c r="I405" s="9"/>
      <c r="J405" s="9"/>
      <c r="K405" s="9">
        <v>13</v>
      </c>
      <c r="L405" s="9">
        <v>6</v>
      </c>
      <c r="M405" s="9" t="s">
        <v>169</v>
      </c>
      <c r="N405" s="9" t="s">
        <v>170</v>
      </c>
      <c r="O405" s="31"/>
      <c r="P405" s="9" t="str">
        <f>HYPERLINK("http://www.stromypodkontrolou.cz/map/?draw_selection_circle=1#%7B%22lat%22%3A%2049.6699105106833%2C%20%22lng%22%3A%2018.663145995571%2C%20%22zoom%22%3A%2020%7D")</f>
        <v>http://www.stromypodkontrolou.cz/map/?draw_selection_circle=1#%7B%22lat%22%3A%2049.6699105106833%2C%20%22lng%22%3A%2018.663145995571%2C%20%22zoom%22%3A%2020%7D</v>
      </c>
    </row>
    <row r="406" spans="1:16" s="16" customFormat="1" ht="48">
      <c r="A406" s="18" t="s">
        <v>752</v>
      </c>
      <c r="B406" s="10" t="s">
        <v>127</v>
      </c>
      <c r="C406" s="10">
        <v>13</v>
      </c>
      <c r="D406" s="10"/>
      <c r="E406" s="10" t="s">
        <v>21</v>
      </c>
      <c r="F406" s="10" t="s">
        <v>197</v>
      </c>
      <c r="G406" s="10">
        <v>8</v>
      </c>
      <c r="H406" s="10"/>
      <c r="I406" s="10"/>
      <c r="J406" s="10"/>
      <c r="K406" s="10">
        <v>8</v>
      </c>
      <c r="L406" s="10">
        <v>3</v>
      </c>
      <c r="M406" s="10" t="s">
        <v>169</v>
      </c>
      <c r="N406" s="10" t="s">
        <v>170</v>
      </c>
      <c r="O406" s="31"/>
      <c r="P406" s="10" t="str">
        <f>HYPERLINK("http://www.stromypodkontrolou.cz/map/?draw_selection_circle=1#%7B%22lat%22%3A%2049.6699298873492%2C%20%22lng%22%3A%2018.6631463868325%2C%20%22zoom%22%3A%2020%7D")</f>
        <v>http://www.stromypodkontrolou.cz/map/?draw_selection_circle=1#%7B%22lat%22%3A%2049.6699298873492%2C%20%22lng%22%3A%2018.6631463868325%2C%20%22zoom%22%3A%2020%7D</v>
      </c>
    </row>
    <row r="407" spans="1:16" ht="48">
      <c r="A407" s="19" t="s">
        <v>753</v>
      </c>
      <c r="B407" s="9" t="s">
        <v>127</v>
      </c>
      <c r="C407" s="9">
        <v>14</v>
      </c>
      <c r="D407" s="9"/>
      <c r="E407" s="9" t="s">
        <v>21</v>
      </c>
      <c r="F407" s="9" t="s">
        <v>197</v>
      </c>
      <c r="G407" s="9">
        <v>15</v>
      </c>
      <c r="H407" s="9">
        <v>13</v>
      </c>
      <c r="I407" s="9"/>
      <c r="J407" s="9"/>
      <c r="K407" s="9">
        <v>12</v>
      </c>
      <c r="L407" s="9">
        <v>6</v>
      </c>
      <c r="M407" s="9" t="s">
        <v>218</v>
      </c>
      <c r="N407" s="9" t="s">
        <v>219</v>
      </c>
      <c r="O407" s="31"/>
      <c r="P407" s="9" t="str">
        <f>HYPERLINK("http://www.stromypodkontrolou.cz/map/?draw_selection_circle=1#%7B%22lat%22%3A%2049.6699530651876%2C%20%22lng%22%3A%2018.6631560765739%2C%20%22zoom%22%3A%2020%7D")</f>
        <v>http://www.stromypodkontrolou.cz/map/?draw_selection_circle=1#%7B%22lat%22%3A%2049.6699530651876%2C%20%22lng%22%3A%2018.6631560765739%2C%20%22zoom%22%3A%2020%7D</v>
      </c>
    </row>
    <row r="408" spans="1:16" s="16" customFormat="1" ht="48">
      <c r="A408" s="18" t="s">
        <v>754</v>
      </c>
      <c r="B408" s="10" t="s">
        <v>127</v>
      </c>
      <c r="C408" s="10">
        <v>15</v>
      </c>
      <c r="D408" s="10"/>
      <c r="E408" s="10" t="s">
        <v>21</v>
      </c>
      <c r="F408" s="10" t="s">
        <v>197</v>
      </c>
      <c r="G408" s="10">
        <v>36</v>
      </c>
      <c r="H408" s="10"/>
      <c r="I408" s="10"/>
      <c r="J408" s="10"/>
      <c r="K408" s="10">
        <v>15</v>
      </c>
      <c r="L408" s="10">
        <v>8</v>
      </c>
      <c r="M408" s="10" t="s">
        <v>191</v>
      </c>
      <c r="N408" s="10" t="s">
        <v>192</v>
      </c>
      <c r="O408" s="31"/>
      <c r="P408" s="10" t="str">
        <f>HYPERLINK("http://www.stromypodkontrolou.cz/map/?draw_selection_circle=1#%7B%22lat%22%3A%2049.6699832516728%2C%20%22lng%22%3A%2018.6631683003773%2C%20%22zoom%22%3A%2020%7D")</f>
        <v>http://www.stromypodkontrolou.cz/map/?draw_selection_circle=1#%7B%22lat%22%3A%2049.6699832516728%2C%20%22lng%22%3A%2018.6631683003773%2C%20%22zoom%22%3A%2020%7D</v>
      </c>
    </row>
    <row r="409" spans="1:16" ht="48">
      <c r="A409" s="19" t="s">
        <v>755</v>
      </c>
      <c r="B409" s="9" t="s">
        <v>22</v>
      </c>
      <c r="C409" s="9">
        <v>236</v>
      </c>
      <c r="D409" s="9"/>
      <c r="E409" s="9" t="s">
        <v>24</v>
      </c>
      <c r="F409" s="9" t="s">
        <v>200</v>
      </c>
      <c r="G409" s="9">
        <v>12</v>
      </c>
      <c r="H409" s="9">
        <v>8</v>
      </c>
      <c r="I409" s="9">
        <v>7</v>
      </c>
      <c r="J409" s="9"/>
      <c r="K409" s="9">
        <v>10</v>
      </c>
      <c r="L409" s="9">
        <v>5</v>
      </c>
      <c r="M409" s="9" t="s">
        <v>169</v>
      </c>
      <c r="N409" s="9" t="s">
        <v>170</v>
      </c>
      <c r="O409" s="31"/>
      <c r="P409" s="9" t="str">
        <f>HYPERLINK("http://www.stromypodkontrolou.cz/map/?draw_selection_circle=1#%7B%22lat%22%3A%2049.6687698773197%2C%20%22lng%22%3A%2018.6709169777394%2C%20%22zoom%22%3A%2020%7D")</f>
        <v>http://www.stromypodkontrolou.cz/map/?draw_selection_circle=1#%7B%22lat%22%3A%2049.6687698773197%2C%20%22lng%22%3A%2018.6709169777394%2C%20%22zoom%22%3A%2020%7D</v>
      </c>
    </row>
    <row r="410" spans="1:16" s="16" customFormat="1" ht="48">
      <c r="A410" s="15" t="s">
        <v>756</v>
      </c>
      <c r="B410" s="10" t="s">
        <v>81</v>
      </c>
      <c r="C410" s="10">
        <v>318</v>
      </c>
      <c r="D410" s="10"/>
      <c r="E410" s="10" t="s">
        <v>21</v>
      </c>
      <c r="F410" s="10" t="s">
        <v>197</v>
      </c>
      <c r="G410" s="10">
        <v>34</v>
      </c>
      <c r="H410" s="10"/>
      <c r="I410" s="10"/>
      <c r="J410" s="10"/>
      <c r="K410" s="10">
        <v>20</v>
      </c>
      <c r="L410" s="10">
        <v>5</v>
      </c>
      <c r="M410" s="10" t="s">
        <v>171</v>
      </c>
      <c r="N410" s="10" t="s">
        <v>172</v>
      </c>
      <c r="O410" s="31"/>
      <c r="P410" s="10" t="str">
        <f>HYPERLINK("http://www.stromypodkontrolou.cz/map/?draw_selection_circle=1#%7B%22lat%22%3A%2049.6660541691618%2C%20%22lng%22%3A%2018.6769623654853%2C%20%22zoom%22%3A%2020%7D")</f>
        <v>http://www.stromypodkontrolou.cz/map/?draw_selection_circle=1#%7B%22lat%22%3A%2049.6660541691618%2C%20%22lng%22%3A%2018.6769623654853%2C%20%22zoom%22%3A%2020%7D</v>
      </c>
    </row>
    <row r="411" spans="1:16" s="16" customFormat="1" ht="24">
      <c r="A411" s="2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 t="s">
        <v>191</v>
      </c>
      <c r="N411" s="10" t="s">
        <v>192</v>
      </c>
      <c r="O411" s="31"/>
      <c r="P411" s="10"/>
    </row>
    <row r="412" spans="1:16" ht="48">
      <c r="A412" s="4" t="s">
        <v>757</v>
      </c>
      <c r="B412" s="9" t="s">
        <v>81</v>
      </c>
      <c r="C412" s="9">
        <v>381</v>
      </c>
      <c r="D412" s="9"/>
      <c r="E412" s="9" t="s">
        <v>23</v>
      </c>
      <c r="F412" s="9" t="s">
        <v>198</v>
      </c>
      <c r="G412" s="9">
        <v>25</v>
      </c>
      <c r="H412" s="9">
        <v>22</v>
      </c>
      <c r="I412" s="9"/>
      <c r="J412" s="9"/>
      <c r="K412" s="9">
        <v>20</v>
      </c>
      <c r="L412" s="9">
        <v>6</v>
      </c>
      <c r="M412" s="9" t="s">
        <v>191</v>
      </c>
      <c r="N412" s="9" t="s">
        <v>192</v>
      </c>
      <c r="O412" s="31"/>
      <c r="P412" s="9" t="str">
        <f>HYPERLINK("http://www.stromypodkontrolou.cz/map/?draw_selection_circle=1#%7B%22lat%22%3A%2049.6676698334539%2C%20%22lng%22%3A%2018.676418668097%2C%20%22zoom%22%3A%2020%7D")</f>
        <v>http://www.stromypodkontrolou.cz/map/?draw_selection_circle=1#%7B%22lat%22%3A%2049.6676698334539%2C%20%22lng%22%3A%2018.676418668097%2C%20%22zoom%22%3A%2020%7D</v>
      </c>
    </row>
    <row r="413" spans="1:16" ht="12.75">
      <c r="A413" s="5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 t="s">
        <v>171</v>
      </c>
      <c r="N413" s="9" t="s">
        <v>172</v>
      </c>
      <c r="O413" s="31"/>
      <c r="P413" s="9"/>
    </row>
    <row r="414" spans="1:16" s="16" customFormat="1" ht="48">
      <c r="A414" s="18" t="s">
        <v>758</v>
      </c>
      <c r="B414" s="10" t="s">
        <v>81</v>
      </c>
      <c r="C414" s="10">
        <v>368</v>
      </c>
      <c r="D414" s="10"/>
      <c r="E414" s="10" t="s">
        <v>30</v>
      </c>
      <c r="F414" s="10" t="s">
        <v>211</v>
      </c>
      <c r="G414" s="10">
        <v>22</v>
      </c>
      <c r="H414" s="10"/>
      <c r="I414" s="10"/>
      <c r="J414" s="10"/>
      <c r="K414" s="10">
        <v>15</v>
      </c>
      <c r="L414" s="10">
        <v>5</v>
      </c>
      <c r="M414" s="10" t="s">
        <v>218</v>
      </c>
      <c r="N414" s="10" t="s">
        <v>219</v>
      </c>
      <c r="O414" s="31"/>
      <c r="P414" s="10" t="str">
        <f>HYPERLINK("http://www.stromypodkontrolou.cz/map/?draw_selection_circle=1#%7B%22lat%22%3A%2049.6679808892763%2C%20%22lng%22%3A%2018.676709561577%2C%20%22zoom%22%3A%2020%7D")</f>
        <v>http://www.stromypodkontrolou.cz/map/?draw_selection_circle=1#%7B%22lat%22%3A%2049.6679808892763%2C%20%22lng%22%3A%2018.676709561577%2C%20%22zoom%22%3A%2020%7D</v>
      </c>
    </row>
    <row r="415" spans="1:16" ht="48">
      <c r="A415" s="19" t="s">
        <v>759</v>
      </c>
      <c r="B415" s="9" t="s">
        <v>12</v>
      </c>
      <c r="C415" s="9">
        <v>208</v>
      </c>
      <c r="D415" s="9"/>
      <c r="E415" s="9" t="s">
        <v>128</v>
      </c>
      <c r="F415" s="9" t="s">
        <v>441</v>
      </c>
      <c r="G415" s="9">
        <v>7</v>
      </c>
      <c r="H415" s="9"/>
      <c r="I415" s="9"/>
      <c r="J415" s="9"/>
      <c r="K415" s="9">
        <v>5</v>
      </c>
      <c r="L415" s="9">
        <v>2</v>
      </c>
      <c r="M415" s="9" t="s">
        <v>169</v>
      </c>
      <c r="N415" s="9" t="s">
        <v>170</v>
      </c>
      <c r="O415" s="31"/>
      <c r="P415" s="9" t="str">
        <f>HYPERLINK("http://www.stromypodkontrolou.cz/map/?draw_selection_circle=1#%7B%22lat%22%3A%2049.6795051500899%2C%20%22lng%22%3A%2018.6822948497575%2C%20%22zoom%22%3A%2020%7D")</f>
        <v>http://www.stromypodkontrolou.cz/map/?draw_selection_circle=1#%7B%22lat%22%3A%2049.6795051500899%2C%20%22lng%22%3A%2018.6822948497575%2C%20%22zoom%22%3A%2020%7D</v>
      </c>
    </row>
    <row r="416" spans="1:16" s="16" customFormat="1" ht="48">
      <c r="A416" s="18" t="s">
        <v>760</v>
      </c>
      <c r="B416" s="10" t="s">
        <v>12</v>
      </c>
      <c r="C416" s="10">
        <v>206</v>
      </c>
      <c r="D416" s="10"/>
      <c r="E416" s="10" t="s">
        <v>128</v>
      </c>
      <c r="F416" s="10" t="s">
        <v>441</v>
      </c>
      <c r="G416" s="10">
        <v>7</v>
      </c>
      <c r="H416" s="10"/>
      <c r="I416" s="10"/>
      <c r="J416" s="10"/>
      <c r="K416" s="10">
        <v>5</v>
      </c>
      <c r="L416" s="10">
        <v>2</v>
      </c>
      <c r="M416" s="10" t="s">
        <v>169</v>
      </c>
      <c r="N416" s="10" t="s">
        <v>170</v>
      </c>
      <c r="O416" s="31"/>
      <c r="P416" s="10" t="str">
        <f>HYPERLINK("http://www.stromypodkontrolou.cz/map/?draw_selection_circle=1#%7B%22lat%22%3A%2049.6794856592298%2C%20%22lng%22%3A%2018.6823561713519%2C%20%22zoom%22%3A%2020%7D")</f>
        <v>http://www.stromypodkontrolou.cz/map/?draw_selection_circle=1#%7B%22lat%22%3A%2049.6794856592298%2C%20%22lng%22%3A%2018.6823561713519%2C%20%22zoom%22%3A%2020%7D</v>
      </c>
    </row>
    <row r="417" spans="1:16" ht="48">
      <c r="A417" s="19" t="s">
        <v>761</v>
      </c>
      <c r="B417" s="9" t="s">
        <v>12</v>
      </c>
      <c r="C417" s="9">
        <v>327</v>
      </c>
      <c r="D417" s="9"/>
      <c r="E417" s="9" t="s">
        <v>30</v>
      </c>
      <c r="F417" s="9" t="s">
        <v>211</v>
      </c>
      <c r="G417" s="9">
        <v>21</v>
      </c>
      <c r="H417" s="9"/>
      <c r="I417" s="9"/>
      <c r="J417" s="9"/>
      <c r="K417" s="9">
        <v>12</v>
      </c>
      <c r="L417" s="9">
        <v>5</v>
      </c>
      <c r="M417" s="9" t="s">
        <v>169</v>
      </c>
      <c r="N417" s="9" t="s">
        <v>170</v>
      </c>
      <c r="O417" s="31"/>
      <c r="P417" s="9" t="str">
        <f>HYPERLINK("http://www.stromypodkontrolou.cz/map/?draw_selection_circle=1#%7B%22lat%22%3A%2049.6780706193%2C%20%22lng%22%3A%2018.6858248585%2C%20%22zoom%22%3A%2020%7D")</f>
        <v>http://www.stromypodkontrolou.cz/map/?draw_selection_circle=1#%7B%22lat%22%3A%2049.6780706193%2C%20%22lng%22%3A%2018.6858248585%2C%20%22zoom%22%3A%2020%7D</v>
      </c>
    </row>
    <row r="418" spans="1:16" s="16" customFormat="1" ht="48">
      <c r="A418" s="18" t="s">
        <v>762</v>
      </c>
      <c r="B418" s="10" t="s">
        <v>12</v>
      </c>
      <c r="C418" s="10">
        <v>364</v>
      </c>
      <c r="D418" s="10"/>
      <c r="E418" s="10" t="s">
        <v>30</v>
      </c>
      <c r="F418" s="10" t="s">
        <v>211</v>
      </c>
      <c r="G418" s="10">
        <v>16</v>
      </c>
      <c r="H418" s="10"/>
      <c r="I418" s="10"/>
      <c r="J418" s="10"/>
      <c r="K418" s="10">
        <v>9</v>
      </c>
      <c r="L418" s="10">
        <v>5</v>
      </c>
      <c r="M418" s="10" t="s">
        <v>169</v>
      </c>
      <c r="N418" s="10" t="s">
        <v>170</v>
      </c>
      <c r="O418" s="31"/>
      <c r="P418" s="10" t="str">
        <f>HYPERLINK("http://www.stromypodkontrolou.cz/map/?draw_selection_circle=1#%7B%22lat%22%3A%2049.678168164987%2C%20%22lng%22%3A%2018.685860062705%2C%20%22zoom%22%3A%2020%7D")</f>
        <v>http://www.stromypodkontrolou.cz/map/?draw_selection_circle=1#%7B%22lat%22%3A%2049.678168164987%2C%20%22lng%22%3A%2018.685860062705%2C%20%22zoom%22%3A%2020%7D</v>
      </c>
    </row>
    <row r="419" spans="1:16" ht="48">
      <c r="A419" s="4" t="s">
        <v>763</v>
      </c>
      <c r="B419" s="9" t="s">
        <v>12</v>
      </c>
      <c r="C419" s="9">
        <v>289</v>
      </c>
      <c r="D419" s="9"/>
      <c r="E419" s="9" t="s">
        <v>24</v>
      </c>
      <c r="F419" s="9" t="s">
        <v>200</v>
      </c>
      <c r="G419" s="9">
        <v>14</v>
      </c>
      <c r="H419" s="9">
        <v>12</v>
      </c>
      <c r="I419" s="9">
        <v>12</v>
      </c>
      <c r="J419" s="9"/>
      <c r="K419" s="9">
        <v>9</v>
      </c>
      <c r="L419" s="9">
        <v>5</v>
      </c>
      <c r="M419" s="9" t="s">
        <v>169</v>
      </c>
      <c r="N419" s="9" t="s">
        <v>170</v>
      </c>
      <c r="O419" s="31"/>
      <c r="P419" s="9" t="str">
        <f>HYPERLINK("http://www.stromypodkontrolou.cz/map/?draw_selection_circle=1#%7B%22lat%22%3A%2049.6760474371355%2C%20%22lng%22%3A%2018.6866397246812%2C%20%22zoom%22%3A%2020%7D")</f>
        <v>http://www.stromypodkontrolou.cz/map/?draw_selection_circle=1#%7B%22lat%22%3A%2049.6760474371355%2C%20%22lng%22%3A%2018.6866397246812%2C%20%22zoom%22%3A%2020%7D</v>
      </c>
    </row>
    <row r="420" spans="1:16" ht="12.75">
      <c r="A420" s="5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 t="s">
        <v>171</v>
      </c>
      <c r="N420" s="9" t="s">
        <v>172</v>
      </c>
      <c r="O420" s="31"/>
      <c r="P420" s="9"/>
    </row>
    <row r="421" spans="1:16" s="16" customFormat="1" ht="48">
      <c r="A421" s="18" t="s">
        <v>764</v>
      </c>
      <c r="B421" s="10" t="s">
        <v>12</v>
      </c>
      <c r="C421" s="10">
        <v>212</v>
      </c>
      <c r="D421" s="10"/>
      <c r="E421" s="10" t="s">
        <v>128</v>
      </c>
      <c r="F421" s="10" t="s">
        <v>441</v>
      </c>
      <c r="G421" s="10">
        <v>7</v>
      </c>
      <c r="H421" s="10"/>
      <c r="I421" s="10"/>
      <c r="J421" s="10"/>
      <c r="K421" s="10">
        <v>4</v>
      </c>
      <c r="L421" s="10">
        <v>3</v>
      </c>
      <c r="M421" s="10" t="s">
        <v>169</v>
      </c>
      <c r="N421" s="10" t="s">
        <v>170</v>
      </c>
      <c r="O421" s="31"/>
      <c r="P421" s="10" t="str">
        <f>HYPERLINK("http://www.stromypodkontrolou.cz/map/?draw_selection_circle=1#%7B%22lat%22%3A%2049.6795493160947%2C%20%22lng%22%3A%2018.6822028557304%2C%20%22zoom%22%3A%2020%7D")</f>
        <v>http://www.stromypodkontrolou.cz/map/?draw_selection_circle=1#%7B%22lat%22%3A%2049.6795493160947%2C%20%22lng%22%3A%2018.6822028557304%2C%20%22zoom%22%3A%2020%7D</v>
      </c>
    </row>
    <row r="422" spans="1:16" ht="48">
      <c r="A422" s="19" t="s">
        <v>765</v>
      </c>
      <c r="B422" s="9" t="s">
        <v>12</v>
      </c>
      <c r="C422" s="9">
        <v>209</v>
      </c>
      <c r="D422" s="9"/>
      <c r="E422" s="9" t="s">
        <v>129</v>
      </c>
      <c r="F422" s="9" t="s">
        <v>442</v>
      </c>
      <c r="G422" s="9">
        <v>14</v>
      </c>
      <c r="H422" s="9"/>
      <c r="I422" s="9"/>
      <c r="J422" s="9"/>
      <c r="K422" s="9">
        <v>7</v>
      </c>
      <c r="L422" s="9">
        <v>4</v>
      </c>
      <c r="M422" s="9" t="s">
        <v>169</v>
      </c>
      <c r="N422" s="9" t="s">
        <v>170</v>
      </c>
      <c r="O422" s="31"/>
      <c r="P422" s="9" t="str">
        <f>HYPERLINK("http://www.stromypodkontrolou.cz/map/?draw_selection_circle=1#%7B%22lat%22%3A%2049.6795182445098%2C%20%22lng%22%3A%2018.6822711363833%2C%20%22zoom%22%3A%2020%7D")</f>
        <v>http://www.stromypodkontrolou.cz/map/?draw_selection_circle=1#%7B%22lat%22%3A%2049.6795182445098%2C%20%22lng%22%3A%2018.6822711363833%2C%20%22zoom%22%3A%2020%7D</v>
      </c>
    </row>
    <row r="423" spans="1:16" s="16" customFormat="1" ht="48">
      <c r="A423" s="18" t="s">
        <v>766</v>
      </c>
      <c r="B423" s="10" t="s">
        <v>12</v>
      </c>
      <c r="C423" s="10">
        <v>360</v>
      </c>
      <c r="D423" s="10"/>
      <c r="E423" s="10" t="s">
        <v>30</v>
      </c>
      <c r="F423" s="10" t="s">
        <v>211</v>
      </c>
      <c r="G423" s="10">
        <v>20</v>
      </c>
      <c r="H423" s="10"/>
      <c r="I423" s="10"/>
      <c r="J423" s="10"/>
      <c r="K423" s="10">
        <v>11</v>
      </c>
      <c r="L423" s="10">
        <v>5</v>
      </c>
      <c r="M423" s="10" t="s">
        <v>169</v>
      </c>
      <c r="N423" s="10" t="s">
        <v>170</v>
      </c>
      <c r="O423" s="31"/>
      <c r="P423" s="10" t="str">
        <f>HYPERLINK("http://www.stromypodkontrolou.cz/map/?draw_selection_circle=1#%7B%22lat%22%3A%2049.6782950455%2C%20%22lng%22%3A%2018.6855682049%2C%20%22zoom%22%3A%2020%7D")</f>
        <v>http://www.stromypodkontrolou.cz/map/?draw_selection_circle=1#%7B%22lat%22%3A%2049.6782950455%2C%20%22lng%22%3A%2018.6855682049%2C%20%22zoom%22%3A%2020%7D</v>
      </c>
    </row>
    <row r="424" spans="1:16" ht="48">
      <c r="A424" s="4" t="s">
        <v>767</v>
      </c>
      <c r="B424" s="9" t="s">
        <v>26</v>
      </c>
      <c r="C424" s="9">
        <v>81</v>
      </c>
      <c r="D424" s="9"/>
      <c r="E424" s="9" t="s">
        <v>130</v>
      </c>
      <c r="F424" s="9" t="s">
        <v>444</v>
      </c>
      <c r="G424" s="9">
        <v>35</v>
      </c>
      <c r="H424" s="9"/>
      <c r="I424" s="9"/>
      <c r="J424" s="9"/>
      <c r="K424" s="9">
        <v>15</v>
      </c>
      <c r="L424" s="9">
        <v>7</v>
      </c>
      <c r="M424" s="9" t="s">
        <v>218</v>
      </c>
      <c r="N424" s="9" t="s">
        <v>219</v>
      </c>
      <c r="O424" s="31"/>
      <c r="P424" s="9" t="str">
        <f>HYPERLINK("http://www.stromypodkontrolou.cz/map/?draw_selection_circle=1#%7B%22lat%22%3A%2049.6643848403953%2C%20%22lng%22%3A%2018.6755314170667%2C%20%22zoom%22%3A%2020%7D")</f>
        <v>http://www.stromypodkontrolou.cz/map/?draw_selection_circle=1#%7B%22lat%22%3A%2049.6643848403953%2C%20%22lng%22%3A%2018.6755314170667%2C%20%22zoom%22%3A%2020%7D</v>
      </c>
    </row>
    <row r="425" spans="1:16" ht="12.75">
      <c r="A425" s="5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 t="s">
        <v>171</v>
      </c>
      <c r="N425" s="9" t="s">
        <v>172</v>
      </c>
      <c r="O425" s="31"/>
      <c r="P425" s="9"/>
    </row>
    <row r="426" spans="1:16" s="16" customFormat="1" ht="48">
      <c r="A426" s="15" t="s">
        <v>768</v>
      </c>
      <c r="B426" s="10" t="s">
        <v>26</v>
      </c>
      <c r="C426" s="10">
        <v>82</v>
      </c>
      <c r="D426" s="10"/>
      <c r="E426" s="10" t="s">
        <v>44</v>
      </c>
      <c r="F426" s="10" t="s">
        <v>242</v>
      </c>
      <c r="G426" s="10">
        <v>30</v>
      </c>
      <c r="H426" s="10"/>
      <c r="I426" s="10"/>
      <c r="J426" s="10"/>
      <c r="K426" s="10">
        <v>12</v>
      </c>
      <c r="L426" s="10">
        <v>8</v>
      </c>
      <c r="M426" s="10" t="s">
        <v>169</v>
      </c>
      <c r="N426" s="10" t="s">
        <v>170</v>
      </c>
      <c r="O426" s="31"/>
      <c r="P426" s="10" t="str">
        <f>HYPERLINK("http://www.stromypodkontrolou.cz/map/?draw_selection_circle=1#%7B%22lat%22%3A%2049.6644032896194%2C%20%22lng%22%3A%2018.6756100944186%2C%20%22zoom%22%3A%2020%7D")</f>
        <v>http://www.stromypodkontrolou.cz/map/?draw_selection_circle=1#%7B%22lat%22%3A%2049.6644032896194%2C%20%22lng%22%3A%2018.6756100944186%2C%20%22zoom%22%3A%2020%7D</v>
      </c>
    </row>
    <row r="427" spans="1:16" s="16" customFormat="1" ht="12.75">
      <c r="A427" s="2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 t="s">
        <v>171</v>
      </c>
      <c r="N427" s="10" t="s">
        <v>172</v>
      </c>
      <c r="O427" s="31"/>
      <c r="P427" s="10"/>
    </row>
    <row r="428" spans="1:16" ht="48">
      <c r="A428" s="4" t="s">
        <v>769</v>
      </c>
      <c r="B428" s="9" t="s">
        <v>38</v>
      </c>
      <c r="C428" s="9">
        <v>82</v>
      </c>
      <c r="D428" s="9"/>
      <c r="E428" s="9" t="s">
        <v>21</v>
      </c>
      <c r="F428" s="9" t="s">
        <v>197</v>
      </c>
      <c r="G428" s="9">
        <v>31</v>
      </c>
      <c r="H428" s="9"/>
      <c r="I428" s="9"/>
      <c r="J428" s="9"/>
      <c r="K428" s="9">
        <v>22</v>
      </c>
      <c r="L428" s="9">
        <v>6</v>
      </c>
      <c r="M428" s="9" t="s">
        <v>218</v>
      </c>
      <c r="N428" s="9" t="s">
        <v>219</v>
      </c>
      <c r="O428" s="31"/>
      <c r="P428" s="9" t="str">
        <f>HYPERLINK("http://www.stromypodkontrolou.cz/map/?draw_selection_circle=1#%7B%22lat%22%3A%2049.6623672498866%2C%20%22lng%22%3A%2018.6778368191199%2C%20%22zoom%22%3A%2020%7D")</f>
        <v>http://www.stromypodkontrolou.cz/map/?draw_selection_circle=1#%7B%22lat%22%3A%2049.6623672498866%2C%20%22lng%22%3A%2018.6778368191199%2C%20%22zoom%22%3A%2020%7D</v>
      </c>
    </row>
    <row r="429" spans="1:16" ht="12.75">
      <c r="A429" s="5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 t="s">
        <v>171</v>
      </c>
      <c r="N429" s="9" t="s">
        <v>172</v>
      </c>
      <c r="O429" s="31"/>
      <c r="P429" s="9"/>
    </row>
    <row r="430" spans="1:16" s="16" customFormat="1" ht="48">
      <c r="A430" s="15" t="s">
        <v>770</v>
      </c>
      <c r="B430" s="10" t="s">
        <v>38</v>
      </c>
      <c r="C430" s="10">
        <v>73</v>
      </c>
      <c r="D430" s="10"/>
      <c r="E430" s="10" t="s">
        <v>21</v>
      </c>
      <c r="F430" s="10" t="s">
        <v>197</v>
      </c>
      <c r="G430" s="10">
        <v>26</v>
      </c>
      <c r="H430" s="10">
        <v>18</v>
      </c>
      <c r="I430" s="10"/>
      <c r="J430" s="10"/>
      <c r="K430" s="10">
        <v>20</v>
      </c>
      <c r="L430" s="10">
        <v>6</v>
      </c>
      <c r="M430" s="10" t="s">
        <v>218</v>
      </c>
      <c r="N430" s="10" t="s">
        <v>219</v>
      </c>
      <c r="O430" s="31"/>
      <c r="P430" s="10" t="str">
        <f>HYPERLINK("http://www.stromypodkontrolou.cz/map/?draw_selection_circle=1#%7B%22lat%22%3A%2049.6624778308006%2C%20%22lng%22%3A%2018.6777586906598%2C%20%22zoom%22%3A%2020%7D")</f>
        <v>http://www.stromypodkontrolou.cz/map/?draw_selection_circle=1#%7B%22lat%22%3A%2049.6624778308006%2C%20%22lng%22%3A%2018.6777586906598%2C%20%22zoom%22%3A%2020%7D</v>
      </c>
    </row>
    <row r="431" spans="1:16" s="16" customFormat="1" ht="12.75">
      <c r="A431" s="2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 t="s">
        <v>171</v>
      </c>
      <c r="N431" s="10" t="s">
        <v>172</v>
      </c>
      <c r="O431" s="31"/>
      <c r="P431" s="10"/>
    </row>
    <row r="432" spans="1:16" ht="48">
      <c r="A432" s="4" t="s">
        <v>771</v>
      </c>
      <c r="B432" s="9" t="s">
        <v>38</v>
      </c>
      <c r="C432" s="9">
        <v>77</v>
      </c>
      <c r="D432" s="9"/>
      <c r="E432" s="9" t="s">
        <v>21</v>
      </c>
      <c r="F432" s="9" t="s">
        <v>197</v>
      </c>
      <c r="G432" s="9">
        <v>25</v>
      </c>
      <c r="H432" s="9"/>
      <c r="I432" s="9"/>
      <c r="J432" s="9"/>
      <c r="K432" s="9">
        <v>22</v>
      </c>
      <c r="L432" s="9">
        <v>4</v>
      </c>
      <c r="M432" s="9" t="s">
        <v>169</v>
      </c>
      <c r="N432" s="9" t="s">
        <v>170</v>
      </c>
      <c r="O432" s="31"/>
      <c r="P432" s="9" t="str">
        <f>HYPERLINK("http://www.stromypodkontrolou.cz/map/?draw_selection_circle=1#%7B%22lat%22%3A%2049.6624383026449%2C%20%22lng%22%3A%2018.677802238964%2C%20%22zoom%22%3A%2020%7D")</f>
        <v>http://www.stromypodkontrolou.cz/map/?draw_selection_circle=1#%7B%22lat%22%3A%2049.6624383026449%2C%20%22lng%22%3A%2018.677802238964%2C%20%22zoom%22%3A%2020%7D</v>
      </c>
    </row>
    <row r="433" spans="1:16" ht="12.75">
      <c r="A433" s="5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 t="s">
        <v>171</v>
      </c>
      <c r="N433" s="9" t="s">
        <v>172</v>
      </c>
      <c r="O433" s="31"/>
      <c r="P433" s="9"/>
    </row>
    <row r="434" spans="1:16" s="16" customFormat="1" ht="48">
      <c r="A434" s="15" t="s">
        <v>772</v>
      </c>
      <c r="B434" s="10" t="s">
        <v>38</v>
      </c>
      <c r="C434" s="10">
        <v>74</v>
      </c>
      <c r="D434" s="10"/>
      <c r="E434" s="10" t="s">
        <v>21</v>
      </c>
      <c r="F434" s="10" t="s">
        <v>197</v>
      </c>
      <c r="G434" s="10">
        <v>47</v>
      </c>
      <c r="H434" s="10"/>
      <c r="I434" s="10"/>
      <c r="J434" s="10"/>
      <c r="K434" s="10">
        <v>22</v>
      </c>
      <c r="L434" s="10">
        <v>11</v>
      </c>
      <c r="M434" s="10" t="s">
        <v>171</v>
      </c>
      <c r="N434" s="10" t="s">
        <v>172</v>
      </c>
      <c r="O434" s="31"/>
      <c r="P434" s="10" t="str">
        <f>HYPERLINK("http://www.stromypodkontrolou.cz/map/?draw_selection_circle=1#%7B%22lat%22%3A%2049.6624614528299%2C%20%22lng%22%3A%2018.6776282356522%2C%20%22zoom%22%3A%2020%7D")</f>
        <v>http://www.stromypodkontrolou.cz/map/?draw_selection_circle=1#%7B%22lat%22%3A%2049.6624614528299%2C%20%22lng%22%3A%2018.6776282356522%2C%20%22zoom%22%3A%2020%7D</v>
      </c>
    </row>
    <row r="435" spans="1:16" s="16" customFormat="1" ht="12.75">
      <c r="A435" s="2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 t="s">
        <v>218</v>
      </c>
      <c r="N435" s="10" t="s">
        <v>219</v>
      </c>
      <c r="O435" s="31"/>
      <c r="P435" s="10"/>
    </row>
    <row r="436" spans="1:16" ht="48">
      <c r="A436" s="4" t="s">
        <v>773</v>
      </c>
      <c r="B436" s="9" t="s">
        <v>38</v>
      </c>
      <c r="C436" s="9">
        <v>71</v>
      </c>
      <c r="D436" s="9"/>
      <c r="E436" s="9" t="s">
        <v>21</v>
      </c>
      <c r="F436" s="9" t="s">
        <v>197</v>
      </c>
      <c r="G436" s="9">
        <v>36</v>
      </c>
      <c r="H436" s="9"/>
      <c r="I436" s="9"/>
      <c r="J436" s="9"/>
      <c r="K436" s="9">
        <v>22</v>
      </c>
      <c r="L436" s="9">
        <v>7</v>
      </c>
      <c r="M436" s="9" t="s">
        <v>169</v>
      </c>
      <c r="N436" s="9" t="s">
        <v>170</v>
      </c>
      <c r="O436" s="31"/>
      <c r="P436" s="9" t="str">
        <f>HYPERLINK("http://www.stromypodkontrolou.cz/map/?draw_selection_circle=1#%7B%22lat%22%3A%2049.6625106939282%2C%20%22lng%22%3A%2018.677793254113%2C%20%22zoom%22%3A%2020%7D")</f>
        <v>http://www.stromypodkontrolou.cz/map/?draw_selection_circle=1#%7B%22lat%22%3A%2049.6625106939282%2C%20%22lng%22%3A%2018.677793254113%2C%20%22zoom%22%3A%2020%7D</v>
      </c>
    </row>
    <row r="437" spans="1:16" ht="12.75">
      <c r="A437" s="5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 t="s">
        <v>171</v>
      </c>
      <c r="N437" s="9" t="s">
        <v>172</v>
      </c>
      <c r="O437" s="31"/>
      <c r="P437" s="9"/>
    </row>
    <row r="438" spans="1:16" s="16" customFormat="1" ht="48">
      <c r="A438" s="15" t="s">
        <v>774</v>
      </c>
      <c r="B438" s="10" t="s">
        <v>43</v>
      </c>
      <c r="C438" s="10">
        <v>19</v>
      </c>
      <c r="D438" s="10"/>
      <c r="E438" s="10" t="s">
        <v>24</v>
      </c>
      <c r="F438" s="10" t="s">
        <v>200</v>
      </c>
      <c r="G438" s="10">
        <v>31</v>
      </c>
      <c r="H438" s="10"/>
      <c r="I438" s="10"/>
      <c r="J438" s="10"/>
      <c r="K438" s="10">
        <v>19</v>
      </c>
      <c r="L438" s="10">
        <v>5</v>
      </c>
      <c r="M438" s="10" t="s">
        <v>218</v>
      </c>
      <c r="N438" s="10" t="s">
        <v>219</v>
      </c>
      <c r="O438" s="31"/>
      <c r="P438" s="10" t="str">
        <f>HYPERLINK("http://www.stromypodkontrolou.cz/map/?draw_selection_circle=1#%7B%22lat%22%3A%2049.6745339207919%2C%20%22lng%22%3A%2018.6707316677345%2C%20%22zoom%22%3A%2020%7D")</f>
        <v>http://www.stromypodkontrolou.cz/map/?draw_selection_circle=1#%7B%22lat%22%3A%2049.6745339207919%2C%20%22lng%22%3A%2018.6707316677345%2C%20%22zoom%22%3A%2020%7D</v>
      </c>
    </row>
    <row r="439" spans="1:16" s="16" customFormat="1" ht="12.75">
      <c r="A439" s="2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 t="s">
        <v>171</v>
      </c>
      <c r="N439" s="10" t="s">
        <v>172</v>
      </c>
      <c r="O439" s="31"/>
      <c r="P439" s="10"/>
    </row>
    <row r="440" spans="1:16" ht="48">
      <c r="A440" s="4" t="s">
        <v>775</v>
      </c>
      <c r="B440" s="9" t="s">
        <v>43</v>
      </c>
      <c r="C440" s="9">
        <v>20</v>
      </c>
      <c r="D440" s="9"/>
      <c r="E440" s="9" t="s">
        <v>24</v>
      </c>
      <c r="F440" s="9" t="s">
        <v>200</v>
      </c>
      <c r="G440" s="9">
        <v>45</v>
      </c>
      <c r="H440" s="9"/>
      <c r="I440" s="9"/>
      <c r="J440" s="9"/>
      <c r="K440" s="9">
        <v>19</v>
      </c>
      <c r="L440" s="9">
        <v>7</v>
      </c>
      <c r="M440" s="9" t="s">
        <v>191</v>
      </c>
      <c r="N440" s="9" t="s">
        <v>192</v>
      </c>
      <c r="O440" s="31"/>
      <c r="P440" s="9" t="str">
        <f>HYPERLINK("http://www.stromypodkontrolou.cz/map/?draw_selection_circle=1#%7B%22lat%22%3A%2049.6745497569105%2C%20%22lng%22%3A%2018.6707425319538%2C%20%22zoom%22%3A%2020%7D")</f>
        <v>http://www.stromypodkontrolou.cz/map/?draw_selection_circle=1#%7B%22lat%22%3A%2049.6745497569105%2C%20%22lng%22%3A%2018.6707425319538%2C%20%22zoom%22%3A%2020%7D</v>
      </c>
    </row>
    <row r="441" spans="1:16" ht="12.75">
      <c r="A441" s="5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 t="s">
        <v>171</v>
      </c>
      <c r="N441" s="9" t="s">
        <v>172</v>
      </c>
      <c r="O441" s="31"/>
      <c r="P441" s="9"/>
    </row>
    <row r="442" spans="1:16" s="16" customFormat="1" ht="48">
      <c r="A442" s="18" t="s">
        <v>776</v>
      </c>
      <c r="B442" s="10" t="s">
        <v>43</v>
      </c>
      <c r="C442" s="10">
        <v>146</v>
      </c>
      <c r="D442" s="10"/>
      <c r="E442" s="10" t="s">
        <v>11</v>
      </c>
      <c r="F442" s="10" t="s">
        <v>173</v>
      </c>
      <c r="G442" s="10">
        <v>32</v>
      </c>
      <c r="H442" s="10"/>
      <c r="I442" s="10"/>
      <c r="J442" s="10"/>
      <c r="K442" s="10">
        <v>19</v>
      </c>
      <c r="L442" s="10">
        <v>6</v>
      </c>
      <c r="M442" s="10" t="s">
        <v>218</v>
      </c>
      <c r="N442" s="10" t="s">
        <v>219</v>
      </c>
      <c r="O442" s="31"/>
      <c r="P442" s="10" t="str">
        <f>HYPERLINK("http://www.stromypodkontrolou.cz/map/?draw_selection_circle=1#%7B%22lat%22%3A%2049.67383816901%2C%20%22lng%22%3A%2018.6701011676954%2C%20%22zoom%22%3A%2020%7D")</f>
        <v>http://www.stromypodkontrolou.cz/map/?draw_selection_circle=1#%7B%22lat%22%3A%2049.67383816901%2C%20%22lng%22%3A%2018.6701011676954%2C%20%22zoom%22%3A%2020%7D</v>
      </c>
    </row>
    <row r="443" spans="1:16" ht="48">
      <c r="A443" s="4" t="s">
        <v>777</v>
      </c>
      <c r="B443" s="9" t="s">
        <v>73</v>
      </c>
      <c r="C443" s="9">
        <v>93</v>
      </c>
      <c r="D443" s="9"/>
      <c r="E443" s="9" t="s">
        <v>92</v>
      </c>
      <c r="F443" s="9" t="s">
        <v>329</v>
      </c>
      <c r="G443" s="9">
        <v>48</v>
      </c>
      <c r="H443" s="9"/>
      <c r="I443" s="9"/>
      <c r="J443" s="9"/>
      <c r="K443" s="9">
        <v>19</v>
      </c>
      <c r="L443" s="9">
        <v>12</v>
      </c>
      <c r="M443" s="9" t="s">
        <v>191</v>
      </c>
      <c r="N443" s="9" t="s">
        <v>192</v>
      </c>
      <c r="O443" s="31"/>
      <c r="P443" s="9" t="str">
        <f>HYPERLINK("http://www.stromypodkontrolou.cz/map/?draw_selection_circle=1#%7B%22lat%22%3A%2049.6633424247919%2C%20%22lng%22%3A%2018.6764440880386%2C%20%22zoom%22%3A%2020%7D")</f>
        <v>http://www.stromypodkontrolou.cz/map/?draw_selection_circle=1#%7B%22lat%22%3A%2049.6633424247919%2C%20%22lng%22%3A%2018.6764440880386%2C%20%22zoom%22%3A%2020%7D</v>
      </c>
    </row>
    <row r="444" spans="1:16" ht="12.75">
      <c r="A444" s="5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 t="s">
        <v>171</v>
      </c>
      <c r="N444" s="9" t="s">
        <v>172</v>
      </c>
      <c r="O444" s="31"/>
      <c r="P444" s="9"/>
    </row>
    <row r="445" spans="1:16" s="16" customFormat="1" ht="48">
      <c r="A445" s="15" t="s">
        <v>778</v>
      </c>
      <c r="B445" s="10" t="s">
        <v>73</v>
      </c>
      <c r="C445" s="10">
        <v>121</v>
      </c>
      <c r="D445" s="10"/>
      <c r="E445" s="10" t="s">
        <v>131</v>
      </c>
      <c r="F445" s="10" t="s">
        <v>453</v>
      </c>
      <c r="G445" s="10">
        <v>40</v>
      </c>
      <c r="H445" s="10"/>
      <c r="I445" s="10"/>
      <c r="J445" s="10"/>
      <c r="K445" s="10">
        <v>6</v>
      </c>
      <c r="L445" s="10">
        <v>8</v>
      </c>
      <c r="M445" s="10" t="s">
        <v>218</v>
      </c>
      <c r="N445" s="10" t="s">
        <v>219</v>
      </c>
      <c r="O445" s="31"/>
      <c r="P445" s="10" t="str">
        <f>HYPERLINK("http://www.stromypodkontrolou.cz/map/?draw_selection_circle=1#%7B%22lat%22%3A%2049.6633447115571%2C%20%22lng%22%3A%2018.6762137861958%2C%20%22zoom%22%3A%2020%7D")</f>
        <v>http://www.stromypodkontrolou.cz/map/?draw_selection_circle=1#%7B%22lat%22%3A%2049.6633447115571%2C%20%22lng%22%3A%2018.6762137861958%2C%20%22zoom%22%3A%2020%7D</v>
      </c>
    </row>
    <row r="446" spans="1:16" s="16" customFormat="1" ht="12.75">
      <c r="A446" s="2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 t="s">
        <v>171</v>
      </c>
      <c r="N446" s="10" t="s">
        <v>172</v>
      </c>
      <c r="O446" s="31"/>
      <c r="P446" s="10"/>
    </row>
    <row r="447" spans="1:16" ht="48">
      <c r="A447" s="4" t="s">
        <v>779</v>
      </c>
      <c r="B447" s="9" t="s">
        <v>73</v>
      </c>
      <c r="C447" s="9">
        <v>144</v>
      </c>
      <c r="D447" s="9"/>
      <c r="E447" s="9" t="s">
        <v>11</v>
      </c>
      <c r="F447" s="9" t="s">
        <v>173</v>
      </c>
      <c r="G447" s="9">
        <v>27</v>
      </c>
      <c r="H447" s="9"/>
      <c r="I447" s="9"/>
      <c r="J447" s="9"/>
      <c r="K447" s="9">
        <v>16</v>
      </c>
      <c r="L447" s="9">
        <v>6</v>
      </c>
      <c r="M447" s="9" t="s">
        <v>218</v>
      </c>
      <c r="N447" s="9" t="s">
        <v>219</v>
      </c>
      <c r="O447" s="31"/>
      <c r="P447" s="9" t="str">
        <f>HYPERLINK("http://www.stromypodkontrolou.cz/map/?draw_selection_circle=1#%7B%22lat%22%3A%2049.6630978482316%2C%20%22lng%22%3A%2018.6786991645705%2C%20%22zoom%22%3A%2020%7D")</f>
        <v>http://www.stromypodkontrolou.cz/map/?draw_selection_circle=1#%7B%22lat%22%3A%2049.6630978482316%2C%20%22lng%22%3A%2018.6786991645705%2C%20%22zoom%22%3A%2020%7D</v>
      </c>
    </row>
    <row r="448" spans="1:16" ht="12.75">
      <c r="A448" s="5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 t="s">
        <v>171</v>
      </c>
      <c r="N448" s="9" t="s">
        <v>172</v>
      </c>
      <c r="O448" s="31"/>
      <c r="P448" s="9"/>
    </row>
    <row r="449" spans="1:16" s="16" customFormat="1" ht="48">
      <c r="A449" s="15" t="s">
        <v>780</v>
      </c>
      <c r="B449" s="10" t="s">
        <v>73</v>
      </c>
      <c r="C449" s="10">
        <v>113</v>
      </c>
      <c r="D449" s="10"/>
      <c r="E449" s="10" t="s">
        <v>21</v>
      </c>
      <c r="F449" s="10" t="s">
        <v>197</v>
      </c>
      <c r="G449" s="10">
        <v>34</v>
      </c>
      <c r="H449" s="10"/>
      <c r="I449" s="10"/>
      <c r="J449" s="10"/>
      <c r="K449" s="10">
        <v>17</v>
      </c>
      <c r="L449" s="10">
        <v>6</v>
      </c>
      <c r="M449" s="10" t="s">
        <v>224</v>
      </c>
      <c r="N449" s="10" t="s">
        <v>225</v>
      </c>
      <c r="O449" s="31"/>
      <c r="P449" s="10" t="str">
        <f>HYPERLINK("http://www.stromypodkontrolou.cz/map/?draw_selection_circle=1#%7B%22lat%22%3A%2049.6637037892368%2C%20%22lng%22%3A%2018.6772170305312%2C%20%22zoom%22%3A%2020%7D")</f>
        <v>http://www.stromypodkontrolou.cz/map/?draw_selection_circle=1#%7B%22lat%22%3A%2049.6637037892368%2C%20%22lng%22%3A%2018.6772170305312%2C%20%22zoom%22%3A%2020%7D</v>
      </c>
    </row>
    <row r="450" spans="1:16" s="16" customFormat="1" ht="12.75">
      <c r="A450" s="2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 t="s">
        <v>171</v>
      </c>
      <c r="N450" s="10" t="s">
        <v>172</v>
      </c>
      <c r="O450" s="31"/>
      <c r="P450" s="10"/>
    </row>
    <row r="451" spans="1:16" ht="48">
      <c r="A451" s="4" t="s">
        <v>781</v>
      </c>
      <c r="B451" s="9" t="s">
        <v>73</v>
      </c>
      <c r="C451" s="9">
        <v>43</v>
      </c>
      <c r="D451" s="9"/>
      <c r="E451" s="9" t="s">
        <v>21</v>
      </c>
      <c r="F451" s="9" t="s">
        <v>197</v>
      </c>
      <c r="G451" s="9">
        <v>35</v>
      </c>
      <c r="H451" s="9"/>
      <c r="I451" s="9"/>
      <c r="J451" s="9"/>
      <c r="K451" s="9">
        <v>18</v>
      </c>
      <c r="L451" s="9">
        <v>6</v>
      </c>
      <c r="M451" s="9" t="s">
        <v>171</v>
      </c>
      <c r="N451" s="9" t="s">
        <v>172</v>
      </c>
      <c r="O451" s="31"/>
      <c r="P451" s="9" t="str">
        <f>HYPERLINK("http://www.stromypodkontrolou.cz/map/?draw_selection_circle=1#%7B%22lat%22%3A%2049.6643765414718%2C%20%22lng%22%3A%2018.6769054425579%2C%20%22zoom%22%3A%2020%7D")</f>
        <v>http://www.stromypodkontrolou.cz/map/?draw_selection_circle=1#%7B%22lat%22%3A%2049.6643765414718%2C%20%22lng%22%3A%2018.6769054425579%2C%20%22zoom%22%3A%2020%7D</v>
      </c>
    </row>
    <row r="452" spans="1:16" ht="24">
      <c r="A452" s="5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 t="s">
        <v>191</v>
      </c>
      <c r="N452" s="9" t="s">
        <v>192</v>
      </c>
      <c r="O452" s="31"/>
      <c r="P452" s="9"/>
    </row>
    <row r="453" spans="1:16" s="16" customFormat="1" ht="48">
      <c r="A453" s="15" t="s">
        <v>782</v>
      </c>
      <c r="B453" s="10" t="s">
        <v>73</v>
      </c>
      <c r="C453" s="10">
        <v>161</v>
      </c>
      <c r="D453" s="10"/>
      <c r="E453" s="10" t="s">
        <v>65</v>
      </c>
      <c r="F453" s="10" t="s">
        <v>280</v>
      </c>
      <c r="G453" s="10">
        <v>34</v>
      </c>
      <c r="H453" s="10"/>
      <c r="I453" s="10"/>
      <c r="J453" s="10"/>
      <c r="K453" s="10">
        <v>8</v>
      </c>
      <c r="L453" s="10">
        <v>8</v>
      </c>
      <c r="M453" s="10" t="s">
        <v>169</v>
      </c>
      <c r="N453" s="10" t="s">
        <v>170</v>
      </c>
      <c r="O453" s="31"/>
      <c r="P453" s="10" t="str">
        <f>HYPERLINK("http://www.stromypodkontrolou.cz/map/?draw_selection_circle=1#%7B%22lat%22%3A%2049.6637293418538%2C%20%22lng%22%3A%2018.6784293780398%2C%20%22zoom%22%3A%2020%7D")</f>
        <v>http://www.stromypodkontrolou.cz/map/?draw_selection_circle=1#%7B%22lat%22%3A%2049.6637293418538%2C%20%22lng%22%3A%2018.6784293780398%2C%20%22zoom%22%3A%2020%7D</v>
      </c>
    </row>
    <row r="454" spans="1:16" s="16" customFormat="1" ht="12.75">
      <c r="A454" s="2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 t="s">
        <v>171</v>
      </c>
      <c r="N454" s="10" t="s">
        <v>172</v>
      </c>
      <c r="O454" s="31"/>
      <c r="P454" s="10"/>
    </row>
    <row r="455" spans="1:16" ht="48">
      <c r="A455" s="4" t="s">
        <v>783</v>
      </c>
      <c r="B455" s="9" t="s">
        <v>73</v>
      </c>
      <c r="C455" s="9">
        <v>160</v>
      </c>
      <c r="D455" s="9"/>
      <c r="E455" s="9" t="s">
        <v>65</v>
      </c>
      <c r="F455" s="9" t="s">
        <v>280</v>
      </c>
      <c r="G455" s="9">
        <v>37</v>
      </c>
      <c r="H455" s="9"/>
      <c r="I455" s="9"/>
      <c r="J455" s="9"/>
      <c r="K455" s="9">
        <v>11</v>
      </c>
      <c r="L455" s="9">
        <v>10</v>
      </c>
      <c r="M455" s="9" t="s">
        <v>169</v>
      </c>
      <c r="N455" s="9" t="s">
        <v>170</v>
      </c>
      <c r="O455" s="31"/>
      <c r="P455" s="9" t="str">
        <f>HYPERLINK("http://www.stromypodkontrolou.cz/map/?draw_selection_circle=1#%7B%22lat%22%3A%2049.6636683960363%2C%20%22lng%22%3A%2018.678451662942%2C%20%22zoom%22%3A%2020%7D")</f>
        <v>http://www.stromypodkontrolou.cz/map/?draw_selection_circle=1#%7B%22lat%22%3A%2049.6636683960363%2C%20%22lng%22%3A%2018.678451662942%2C%20%22zoom%22%3A%2020%7D</v>
      </c>
    </row>
    <row r="456" spans="1:16" ht="12.75">
      <c r="A456" s="5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 t="s">
        <v>171</v>
      </c>
      <c r="N456" s="9" t="s">
        <v>172</v>
      </c>
      <c r="O456" s="31"/>
      <c r="P456" s="9"/>
    </row>
    <row r="457" spans="1:16" s="16" customFormat="1" ht="48">
      <c r="A457" s="15" t="s">
        <v>784</v>
      </c>
      <c r="B457" s="10" t="s">
        <v>73</v>
      </c>
      <c r="C457" s="10">
        <v>171</v>
      </c>
      <c r="D457" s="10"/>
      <c r="E457" s="10" t="s">
        <v>21</v>
      </c>
      <c r="F457" s="10" t="s">
        <v>197</v>
      </c>
      <c r="G457" s="10">
        <v>30</v>
      </c>
      <c r="H457" s="10"/>
      <c r="I457" s="10"/>
      <c r="J457" s="10"/>
      <c r="K457" s="10">
        <v>18</v>
      </c>
      <c r="L457" s="10">
        <v>4</v>
      </c>
      <c r="M457" s="10" t="s">
        <v>171</v>
      </c>
      <c r="N457" s="10" t="s">
        <v>172</v>
      </c>
      <c r="O457" s="31"/>
      <c r="P457" s="10" t="str">
        <f>HYPERLINK("http://www.stromypodkontrolou.cz/map/?draw_selection_circle=1#%7B%22lat%22%3A%2049.6638449907%2C%20%22lng%22%3A%2018.6788410952%2C%20%22zoom%22%3A%2020%7D")</f>
        <v>http://www.stromypodkontrolou.cz/map/?draw_selection_circle=1#%7B%22lat%22%3A%2049.6638449907%2C%20%22lng%22%3A%2018.6788410952%2C%20%22zoom%22%3A%2020%7D</v>
      </c>
    </row>
    <row r="458" spans="1:16" s="16" customFormat="1" ht="12.75">
      <c r="A458" s="2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 t="s">
        <v>169</v>
      </c>
      <c r="N458" s="10" t="s">
        <v>170</v>
      </c>
      <c r="O458" s="31"/>
      <c r="P458" s="10"/>
    </row>
    <row r="459" spans="1:16" ht="48">
      <c r="A459" s="4" t="s">
        <v>785</v>
      </c>
      <c r="B459" s="9" t="s">
        <v>107</v>
      </c>
      <c r="C459" s="9">
        <v>22</v>
      </c>
      <c r="D459" s="9"/>
      <c r="E459" s="9" t="s">
        <v>114</v>
      </c>
      <c r="F459" s="9" t="s">
        <v>381</v>
      </c>
      <c r="G459" s="9">
        <v>27</v>
      </c>
      <c r="H459" s="9"/>
      <c r="I459" s="9"/>
      <c r="J459" s="9"/>
      <c r="K459" s="9">
        <v>7</v>
      </c>
      <c r="L459" s="9">
        <v>5</v>
      </c>
      <c r="M459" s="9" t="s">
        <v>191</v>
      </c>
      <c r="N459" s="9" t="s">
        <v>192</v>
      </c>
      <c r="O459" s="31"/>
      <c r="P459" s="9" t="str">
        <f>HYPERLINK("http://www.stromypodkontrolou.cz/map/?draw_selection_circle=1#%7B%22lat%22%3A%2049.6601661859624%2C%20%22lng%22%3A%2018.6716610961846%2C%20%22zoom%22%3A%2020%7D")</f>
        <v>http://www.stromypodkontrolou.cz/map/?draw_selection_circle=1#%7B%22lat%22%3A%2049.6601661859624%2C%20%22lng%22%3A%2018.6716610961846%2C%20%22zoom%22%3A%2020%7D</v>
      </c>
    </row>
    <row r="460" spans="1:16" ht="12.75">
      <c r="A460" s="5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 t="s">
        <v>171</v>
      </c>
      <c r="N460" s="9" t="s">
        <v>172</v>
      </c>
      <c r="O460" s="31"/>
      <c r="P460" s="9"/>
    </row>
    <row r="461" spans="1:16" s="16" customFormat="1" ht="48">
      <c r="A461" s="15" t="s">
        <v>786</v>
      </c>
      <c r="B461" s="10" t="s">
        <v>107</v>
      </c>
      <c r="C461" s="10">
        <v>27</v>
      </c>
      <c r="D461" s="10"/>
      <c r="E461" s="10" t="s">
        <v>132</v>
      </c>
      <c r="F461" s="10" t="s">
        <v>461</v>
      </c>
      <c r="G461" s="10">
        <v>10</v>
      </c>
      <c r="H461" s="10">
        <v>10</v>
      </c>
      <c r="I461" s="10">
        <v>10</v>
      </c>
      <c r="J461" s="10">
        <v>9</v>
      </c>
      <c r="K461" s="10">
        <v>9</v>
      </c>
      <c r="L461" s="10">
        <v>5</v>
      </c>
      <c r="M461" s="10" t="s">
        <v>169</v>
      </c>
      <c r="N461" s="10" t="s">
        <v>170</v>
      </c>
      <c r="O461" s="31"/>
      <c r="P461" s="10" t="str">
        <f>HYPERLINK("http://www.stromypodkontrolou.cz/map/?draw_selection_circle=1#%7B%22lat%22%3A%2049.6603709006248%2C%20%22lng%22%3A%2018.671824580861%2C%20%22zoom%22%3A%2020%7D")</f>
        <v>http://www.stromypodkontrolou.cz/map/?draw_selection_circle=1#%7B%22lat%22%3A%2049.6603709006248%2C%20%22lng%22%3A%2018.671824580861%2C%20%22zoom%22%3A%2020%7D</v>
      </c>
    </row>
    <row r="462" spans="1:16" s="16" customFormat="1" ht="12.75">
      <c r="A462" s="2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 t="s">
        <v>171</v>
      </c>
      <c r="N462" s="10" t="s">
        <v>172</v>
      </c>
      <c r="O462" s="31"/>
      <c r="P462" s="10"/>
    </row>
    <row r="463" spans="1:16" ht="48">
      <c r="A463" s="4" t="s">
        <v>787</v>
      </c>
      <c r="B463" s="9" t="s">
        <v>107</v>
      </c>
      <c r="C463" s="9">
        <v>26</v>
      </c>
      <c r="D463" s="9"/>
      <c r="E463" s="9" t="s">
        <v>132</v>
      </c>
      <c r="F463" s="9" t="s">
        <v>461</v>
      </c>
      <c r="G463" s="9">
        <v>12</v>
      </c>
      <c r="H463" s="9">
        <v>9</v>
      </c>
      <c r="I463" s="9">
        <v>8</v>
      </c>
      <c r="J463" s="9">
        <v>6</v>
      </c>
      <c r="K463" s="9">
        <v>9</v>
      </c>
      <c r="L463" s="9">
        <v>6</v>
      </c>
      <c r="M463" s="9" t="s">
        <v>169</v>
      </c>
      <c r="N463" s="9" t="s">
        <v>170</v>
      </c>
      <c r="O463" s="31"/>
      <c r="P463" s="9" t="str">
        <f>HYPERLINK("http://www.stromypodkontrolou.cz/map/?draw_selection_circle=1#%7B%22lat%22%3A%2049.6603980293734%2C%20%22lng%22%3A%2018.6720485453201%2C%20%22zoom%22%3A%2020%7D")</f>
        <v>http://www.stromypodkontrolou.cz/map/?draw_selection_circle=1#%7B%22lat%22%3A%2049.6603980293734%2C%20%22lng%22%3A%2018.6720485453201%2C%20%22zoom%22%3A%2020%7D</v>
      </c>
    </row>
    <row r="464" spans="1:16" ht="12.75">
      <c r="A464" s="5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 t="s">
        <v>171</v>
      </c>
      <c r="N464" s="9" t="s">
        <v>172</v>
      </c>
      <c r="O464" s="31"/>
      <c r="P464" s="9"/>
    </row>
    <row r="465" spans="1:16" s="16" customFormat="1" ht="48">
      <c r="A465" s="15" t="s">
        <v>788</v>
      </c>
      <c r="B465" s="10" t="s">
        <v>47</v>
      </c>
      <c r="C465" s="10">
        <v>94</v>
      </c>
      <c r="D465" s="10"/>
      <c r="E465" s="10" t="s">
        <v>10</v>
      </c>
      <c r="F465" s="10" t="s">
        <v>165</v>
      </c>
      <c r="G465" s="10">
        <v>47</v>
      </c>
      <c r="H465" s="10"/>
      <c r="I465" s="10"/>
      <c r="J465" s="10"/>
      <c r="K465" s="10">
        <v>19</v>
      </c>
      <c r="L465" s="10">
        <v>12</v>
      </c>
      <c r="M465" s="10" t="s">
        <v>218</v>
      </c>
      <c r="N465" s="10" t="s">
        <v>219</v>
      </c>
      <c r="O465" s="31"/>
      <c r="P465" s="10" t="str">
        <f>HYPERLINK("http://www.stromypodkontrolou.cz/map/?draw_selection_circle=1#%7B%22lat%22%3A%2049.6779276189%2C%20%22lng%22%3A%2018.646455303%2C%20%22zoom%22%3A%2020%7D")</f>
        <v>http://www.stromypodkontrolou.cz/map/?draw_selection_circle=1#%7B%22lat%22%3A%2049.6779276189%2C%20%22lng%22%3A%2018.646455303%2C%20%22zoom%22%3A%2020%7D</v>
      </c>
    </row>
    <row r="466" spans="1:16" s="16" customFormat="1" ht="12.75">
      <c r="A466" s="2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 t="s">
        <v>171</v>
      </c>
      <c r="N466" s="10" t="s">
        <v>172</v>
      </c>
      <c r="O466" s="31"/>
      <c r="P466" s="10"/>
    </row>
    <row r="467" spans="1:16" ht="48">
      <c r="A467" s="4" t="s">
        <v>789</v>
      </c>
      <c r="B467" s="9" t="s">
        <v>47</v>
      </c>
      <c r="C467" s="9">
        <v>120</v>
      </c>
      <c r="D467" s="9"/>
      <c r="E467" s="9" t="s">
        <v>133</v>
      </c>
      <c r="F467" s="9" t="s">
        <v>464</v>
      </c>
      <c r="G467" s="9">
        <v>54</v>
      </c>
      <c r="H467" s="9"/>
      <c r="I467" s="9"/>
      <c r="J467" s="9"/>
      <c r="K467" s="9">
        <v>18</v>
      </c>
      <c r="L467" s="9">
        <v>8</v>
      </c>
      <c r="M467" s="9" t="s">
        <v>191</v>
      </c>
      <c r="N467" s="9" t="s">
        <v>192</v>
      </c>
      <c r="O467" s="31"/>
      <c r="P467" s="9" t="str">
        <f>HYPERLINK("http://www.stromypodkontrolou.cz/map/?draw_selection_circle=1#%7B%22lat%22%3A%2049.6778000868727%2C%20%22lng%22%3A%2018.6458032455988%2C%20%22zoom%22%3A%2020%7D")</f>
        <v>http://www.stromypodkontrolou.cz/map/?draw_selection_circle=1#%7B%22lat%22%3A%2049.6778000868727%2C%20%22lng%22%3A%2018.6458032455988%2C%20%22zoom%22%3A%2020%7D</v>
      </c>
    </row>
    <row r="468" spans="1:16" ht="12.75">
      <c r="A468" s="5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 t="s">
        <v>171</v>
      </c>
      <c r="N468" s="9" t="s">
        <v>172</v>
      </c>
      <c r="O468" s="31"/>
      <c r="P468" s="9"/>
    </row>
    <row r="469" spans="1:16" s="16" customFormat="1" ht="48">
      <c r="A469" s="15" t="s">
        <v>790</v>
      </c>
      <c r="B469" s="10" t="s">
        <v>47</v>
      </c>
      <c r="C469" s="10">
        <v>67</v>
      </c>
      <c r="D469" s="10"/>
      <c r="E469" s="10" t="s">
        <v>21</v>
      </c>
      <c r="F469" s="10" t="s">
        <v>197</v>
      </c>
      <c r="G469" s="10">
        <v>34</v>
      </c>
      <c r="H469" s="10">
        <v>32</v>
      </c>
      <c r="I469" s="10"/>
      <c r="J469" s="10"/>
      <c r="K469" s="10">
        <v>21</v>
      </c>
      <c r="L469" s="10">
        <v>9</v>
      </c>
      <c r="M469" s="10" t="s">
        <v>191</v>
      </c>
      <c r="N469" s="10" t="s">
        <v>192</v>
      </c>
      <c r="O469" s="31"/>
      <c r="P469" s="10" t="str">
        <f>HYPERLINK("http://www.stromypodkontrolou.cz/map/?draw_selection_circle=1#%7B%22lat%22%3A%2049.6779777691067%2C%20%22lng%22%3A%2018.6459318173561%2C%20%22zoom%22%3A%2020%7D")</f>
        <v>http://www.stromypodkontrolou.cz/map/?draw_selection_circle=1#%7B%22lat%22%3A%2049.6779777691067%2C%20%22lng%22%3A%2018.6459318173561%2C%20%22zoom%22%3A%2020%7D</v>
      </c>
    </row>
    <row r="470" spans="1:16" s="16" customFormat="1" ht="12.75">
      <c r="A470" s="2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 t="s">
        <v>171</v>
      </c>
      <c r="N470" s="10" t="s">
        <v>172</v>
      </c>
      <c r="O470" s="31"/>
      <c r="P470" s="10"/>
    </row>
    <row r="471" spans="1:16" ht="48">
      <c r="A471" s="4" t="s">
        <v>791</v>
      </c>
      <c r="B471" s="9" t="s">
        <v>26</v>
      </c>
      <c r="C471" s="9">
        <v>174</v>
      </c>
      <c r="D471" s="9"/>
      <c r="E471" s="9" t="s">
        <v>30</v>
      </c>
      <c r="F471" s="9" t="s">
        <v>211</v>
      </c>
      <c r="G471" s="9">
        <v>20</v>
      </c>
      <c r="H471" s="9"/>
      <c r="I471" s="9"/>
      <c r="J471" s="9"/>
      <c r="K471" s="9">
        <v>12</v>
      </c>
      <c r="L471" s="9">
        <v>3</v>
      </c>
      <c r="M471" s="9" t="s">
        <v>171</v>
      </c>
      <c r="N471" s="9" t="s">
        <v>172</v>
      </c>
      <c r="O471" s="31"/>
      <c r="P471" s="9" t="str">
        <f>HYPERLINK("http://www.stromypodkontrolou.cz/map/?draw_selection_circle=1#%7B%22lat%22%3A%2049.6656789778%2C%20%22lng%22%3A%2018.6747704417%2C%20%22zoom%22%3A%2020%7D")</f>
        <v>http://www.stromypodkontrolou.cz/map/?draw_selection_circle=1#%7B%22lat%22%3A%2049.6656789778%2C%20%22lng%22%3A%2018.6747704417%2C%20%22zoom%22%3A%2020%7D</v>
      </c>
    </row>
    <row r="472" spans="1:16" ht="12.75">
      <c r="A472" s="5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 t="s">
        <v>169</v>
      </c>
      <c r="N472" s="9" t="s">
        <v>170</v>
      </c>
      <c r="O472" s="31"/>
      <c r="P472" s="9"/>
    </row>
    <row r="473" spans="1:16" s="16" customFormat="1" ht="48">
      <c r="A473" s="15" t="s">
        <v>792</v>
      </c>
      <c r="B473" s="10" t="s">
        <v>26</v>
      </c>
      <c r="C473" s="10">
        <v>169</v>
      </c>
      <c r="D473" s="10"/>
      <c r="E473" s="10" t="s">
        <v>134</v>
      </c>
      <c r="F473" s="10" t="s">
        <v>468</v>
      </c>
      <c r="G473" s="10">
        <v>10</v>
      </c>
      <c r="H473" s="10">
        <v>8</v>
      </c>
      <c r="I473" s="10">
        <v>7</v>
      </c>
      <c r="J473" s="10">
        <v>5</v>
      </c>
      <c r="K473" s="10">
        <v>6</v>
      </c>
      <c r="L473" s="10">
        <v>3</v>
      </c>
      <c r="M473" s="10" t="s">
        <v>169</v>
      </c>
      <c r="N473" s="10" t="s">
        <v>170</v>
      </c>
      <c r="O473" s="31"/>
      <c r="P473" s="10" t="str">
        <f>HYPERLINK("http://www.stromypodkontrolou.cz/map/?draw_selection_circle=1#%7B%22lat%22%3A%2049.6656514690302%2C%20%22lng%22%3A%2018.6749063782785%2C%20%22zoom%22%3A%2020%7D")</f>
        <v>http://www.stromypodkontrolou.cz/map/?draw_selection_circle=1#%7B%22lat%22%3A%2049.6656514690302%2C%20%22lng%22%3A%2018.6749063782785%2C%20%22zoom%22%3A%2020%7D</v>
      </c>
    </row>
    <row r="474" spans="1:16" s="16" customFormat="1" ht="12.75">
      <c r="A474" s="2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 t="s">
        <v>171</v>
      </c>
      <c r="N474" s="10" t="s">
        <v>172</v>
      </c>
      <c r="O474" s="31"/>
      <c r="P474" s="10"/>
    </row>
    <row r="475" spans="1:16" ht="48">
      <c r="A475" s="4" t="s">
        <v>793</v>
      </c>
      <c r="B475" s="9" t="s">
        <v>26</v>
      </c>
      <c r="C475" s="9">
        <v>243</v>
      </c>
      <c r="D475" s="9"/>
      <c r="E475" s="9" t="s">
        <v>27</v>
      </c>
      <c r="F475" s="9" t="s">
        <v>204</v>
      </c>
      <c r="G475" s="9">
        <v>26</v>
      </c>
      <c r="H475" s="9"/>
      <c r="I475" s="9"/>
      <c r="J475" s="9"/>
      <c r="K475" s="9">
        <v>10</v>
      </c>
      <c r="L475" s="9">
        <v>4</v>
      </c>
      <c r="M475" s="9" t="s">
        <v>169</v>
      </c>
      <c r="N475" s="9" t="s">
        <v>170</v>
      </c>
      <c r="O475" s="31"/>
      <c r="P475" s="9" t="str">
        <f>HYPERLINK("http://www.stromypodkontrolou.cz/map/?draw_selection_circle=1#%7B%22lat%22%3A%2049.6642812155268%2C%20%22lng%22%3A%2018.6737999652603%2C%20%22zoom%22%3A%2020%7D")</f>
        <v>http://www.stromypodkontrolou.cz/map/?draw_selection_circle=1#%7B%22lat%22%3A%2049.6642812155268%2C%20%22lng%22%3A%2018.6737999652603%2C%20%22zoom%22%3A%2020%7D</v>
      </c>
    </row>
    <row r="476" spans="1:16" ht="12.75">
      <c r="A476" s="5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 t="s">
        <v>171</v>
      </c>
      <c r="N476" s="9" t="s">
        <v>172</v>
      </c>
      <c r="O476" s="31"/>
      <c r="P476" s="9"/>
    </row>
    <row r="477" spans="1:16" s="16" customFormat="1" ht="48">
      <c r="A477" s="18" t="s">
        <v>794</v>
      </c>
      <c r="B477" s="10" t="s">
        <v>25</v>
      </c>
      <c r="C477" s="10">
        <v>85</v>
      </c>
      <c r="D477" s="10"/>
      <c r="E477" s="10" t="s">
        <v>91</v>
      </c>
      <c r="F477" s="10" t="s">
        <v>323</v>
      </c>
      <c r="G477" s="10">
        <v>24</v>
      </c>
      <c r="H477" s="10"/>
      <c r="I477" s="10"/>
      <c r="J477" s="10"/>
      <c r="K477" s="10">
        <v>12</v>
      </c>
      <c r="L477" s="10">
        <v>8</v>
      </c>
      <c r="M477" s="10" t="s">
        <v>169</v>
      </c>
      <c r="N477" s="10" t="s">
        <v>170</v>
      </c>
      <c r="O477" s="31"/>
      <c r="P477" s="10" t="str">
        <f>HYPERLINK("http://www.stromypodkontrolou.cz/map/?draw_selection_circle=1#%7B%22lat%22%3A%2049.664148010462%2C%20%22lng%22%3A%2018.6724726162728%2C%20%22zoom%22%3A%2020%7D")</f>
        <v>http://www.stromypodkontrolou.cz/map/?draw_selection_circle=1#%7B%22lat%22%3A%2049.664148010462%2C%20%22lng%22%3A%2018.6724726162728%2C%20%22zoom%22%3A%2020%7D</v>
      </c>
    </row>
    <row r="478" spans="1:16" ht="48">
      <c r="A478" s="19" t="s">
        <v>795</v>
      </c>
      <c r="B478" s="9" t="s">
        <v>50</v>
      </c>
      <c r="C478" s="9">
        <v>3</v>
      </c>
      <c r="D478" s="9"/>
      <c r="E478" s="9" t="s">
        <v>23</v>
      </c>
      <c r="F478" s="9" t="s">
        <v>198</v>
      </c>
      <c r="G478" s="9">
        <v>34</v>
      </c>
      <c r="H478" s="9"/>
      <c r="I478" s="9"/>
      <c r="J478" s="9"/>
      <c r="K478" s="9">
        <v>27</v>
      </c>
      <c r="L478" s="9">
        <v>4</v>
      </c>
      <c r="M478" s="9" t="s">
        <v>218</v>
      </c>
      <c r="N478" s="9" t="s">
        <v>219</v>
      </c>
      <c r="O478" s="31"/>
      <c r="P478" s="9" t="str">
        <f>HYPERLINK("http://www.stromypodkontrolou.cz/map/?draw_selection_circle=1#%7B%22lat%22%3A%2049.664571700682%2C%20%22lng%22%3A%2018.6829843705583%2C%20%22zoom%22%3A%2020%7D")</f>
        <v>http://www.stromypodkontrolou.cz/map/?draw_selection_circle=1#%7B%22lat%22%3A%2049.664571700682%2C%20%22lng%22%3A%2018.6829843705583%2C%20%22zoom%22%3A%2020%7D</v>
      </c>
    </row>
    <row r="479" spans="1:16" s="16" customFormat="1" ht="48">
      <c r="A479" s="18" t="s">
        <v>796</v>
      </c>
      <c r="B479" s="10" t="s">
        <v>135</v>
      </c>
      <c r="C479" s="10">
        <v>7</v>
      </c>
      <c r="D479" s="10"/>
      <c r="E479" s="10" t="s">
        <v>136</v>
      </c>
      <c r="F479" s="10" t="s">
        <v>471</v>
      </c>
      <c r="G479" s="10">
        <v>42</v>
      </c>
      <c r="H479" s="10">
        <v>41</v>
      </c>
      <c r="I479" s="10">
        <v>40</v>
      </c>
      <c r="J479" s="10">
        <v>32</v>
      </c>
      <c r="K479" s="10">
        <v>21</v>
      </c>
      <c r="L479" s="10">
        <v>9</v>
      </c>
      <c r="M479" s="10" t="s">
        <v>191</v>
      </c>
      <c r="N479" s="10" t="s">
        <v>192</v>
      </c>
      <c r="O479" s="31"/>
      <c r="P479" s="10" t="str">
        <f>HYPERLINK("http://www.stromypodkontrolou.cz/map/?draw_selection_circle=1#%7B%22lat%22%3A%2049.6628368601%2C%20%22lng%22%3A%2018.6849055007%2C%20%22zoom%22%3A%2020%7D")</f>
        <v>http://www.stromypodkontrolou.cz/map/?draw_selection_circle=1#%7B%22lat%22%3A%2049.6628368601%2C%20%22lng%22%3A%2018.6849055007%2C%20%22zoom%22%3A%2020%7D</v>
      </c>
    </row>
    <row r="480" spans="1:16" ht="48">
      <c r="A480" s="19" t="s">
        <v>797</v>
      </c>
      <c r="B480" s="9" t="s">
        <v>135</v>
      </c>
      <c r="C480" s="9">
        <v>4</v>
      </c>
      <c r="D480" s="9"/>
      <c r="E480" s="9" t="s">
        <v>11</v>
      </c>
      <c r="F480" s="9" t="s">
        <v>173</v>
      </c>
      <c r="G480" s="9">
        <v>23</v>
      </c>
      <c r="H480" s="9"/>
      <c r="I480" s="9"/>
      <c r="J480" s="9"/>
      <c r="K480" s="9">
        <v>13</v>
      </c>
      <c r="L480" s="9">
        <v>4</v>
      </c>
      <c r="M480" s="9" t="s">
        <v>169</v>
      </c>
      <c r="N480" s="9" t="s">
        <v>170</v>
      </c>
      <c r="O480" s="31"/>
      <c r="P480" s="9" t="str">
        <f>HYPERLINK("http://www.stromypodkontrolou.cz/map/?draw_selection_circle=1#%7B%22lat%22%3A%2049.6628825345755%2C%20%22lng%22%3A%2018.6849054017503%2C%20%22zoom%22%3A%2020%7D")</f>
        <v>http://www.stromypodkontrolou.cz/map/?draw_selection_circle=1#%7B%22lat%22%3A%2049.6628825345755%2C%20%22lng%22%3A%2018.6849054017503%2C%20%22zoom%22%3A%2020%7D</v>
      </c>
    </row>
    <row r="481" spans="1:16" s="16" customFormat="1" ht="48">
      <c r="A481" s="18" t="s">
        <v>798</v>
      </c>
      <c r="B481" s="10" t="s">
        <v>135</v>
      </c>
      <c r="C481" s="10">
        <v>6</v>
      </c>
      <c r="D481" s="10"/>
      <c r="E481" s="10" t="s">
        <v>21</v>
      </c>
      <c r="F481" s="10" t="s">
        <v>197</v>
      </c>
      <c r="G481" s="10">
        <v>18</v>
      </c>
      <c r="H481" s="10"/>
      <c r="I481" s="10"/>
      <c r="J481" s="10"/>
      <c r="K481" s="10">
        <v>14</v>
      </c>
      <c r="L481" s="10">
        <v>3</v>
      </c>
      <c r="M481" s="10" t="s">
        <v>169</v>
      </c>
      <c r="N481" s="10" t="s">
        <v>170</v>
      </c>
      <c r="O481" s="31"/>
      <c r="P481" s="10" t="str">
        <f>HYPERLINK("http://www.stromypodkontrolou.cz/map/?draw_selection_circle=1#%7B%22lat%22%3A%2049.662854983355%2C%20%22lng%22%3A%2018.6849050745315%2C%20%22zoom%22%3A%2020%7D")</f>
        <v>http://www.stromypodkontrolou.cz/map/?draw_selection_circle=1#%7B%22lat%22%3A%2049.662854983355%2C%20%22lng%22%3A%2018.6849050745315%2C%20%22zoom%22%3A%2020%7D</v>
      </c>
    </row>
    <row r="482" spans="1:16" ht="48">
      <c r="A482" s="4" t="s">
        <v>799</v>
      </c>
      <c r="B482" s="9" t="s">
        <v>137</v>
      </c>
      <c r="C482" s="9">
        <v>90</v>
      </c>
      <c r="D482" s="9"/>
      <c r="E482" s="9" t="s">
        <v>21</v>
      </c>
      <c r="F482" s="9" t="s">
        <v>197</v>
      </c>
      <c r="G482" s="9">
        <v>36</v>
      </c>
      <c r="H482" s="9"/>
      <c r="I482" s="9"/>
      <c r="J482" s="9"/>
      <c r="K482" s="9">
        <v>21</v>
      </c>
      <c r="L482" s="9">
        <v>8</v>
      </c>
      <c r="M482" s="9" t="s">
        <v>191</v>
      </c>
      <c r="N482" s="9" t="s">
        <v>192</v>
      </c>
      <c r="O482" s="31"/>
      <c r="P482" s="9" t="str">
        <f>HYPERLINK("http://www.stromypodkontrolou.cz/map/?draw_selection_circle=1#%7B%22lat%22%3A%2049.6847326709513%2C%20%22lng%22%3A%2018.6661977756441%2C%20%22zoom%22%3A%2020%7D")</f>
        <v>http://www.stromypodkontrolou.cz/map/?draw_selection_circle=1#%7B%22lat%22%3A%2049.6847326709513%2C%20%22lng%22%3A%2018.6661977756441%2C%20%22zoom%22%3A%2020%7D</v>
      </c>
    </row>
    <row r="483" spans="1:16" ht="12.75">
      <c r="A483" s="5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 t="s">
        <v>171</v>
      </c>
      <c r="N483" s="9" t="s">
        <v>172</v>
      </c>
      <c r="O483" s="31"/>
      <c r="P483" s="9"/>
    </row>
    <row r="484" spans="1:16" s="16" customFormat="1" ht="48">
      <c r="A484" s="15" t="s">
        <v>800</v>
      </c>
      <c r="B484" s="10" t="s">
        <v>137</v>
      </c>
      <c r="C484" s="10">
        <v>91</v>
      </c>
      <c r="D484" s="10"/>
      <c r="E484" s="10" t="s">
        <v>21</v>
      </c>
      <c r="F484" s="10" t="s">
        <v>197</v>
      </c>
      <c r="G484" s="10">
        <v>32</v>
      </c>
      <c r="H484" s="10"/>
      <c r="I484" s="10"/>
      <c r="J484" s="10"/>
      <c r="K484" s="10">
        <v>20</v>
      </c>
      <c r="L484" s="10">
        <v>9</v>
      </c>
      <c r="M484" s="10" t="s">
        <v>191</v>
      </c>
      <c r="N484" s="10" t="s">
        <v>192</v>
      </c>
      <c r="O484" s="31"/>
      <c r="P484" s="10" t="str">
        <f>HYPERLINK("http://www.stromypodkontrolou.cz/map/?draw_selection_circle=1#%7B%22lat%22%3A%2049.684709245229%2C%20%22lng%22%3A%2018.6662522368473%2C%20%22zoom%22%3A%2020%7D")</f>
        <v>http://www.stromypodkontrolou.cz/map/?draw_selection_circle=1#%7B%22lat%22%3A%2049.684709245229%2C%20%22lng%22%3A%2018.6662522368473%2C%20%22zoom%22%3A%2020%7D</v>
      </c>
    </row>
    <row r="485" spans="1:16" s="16" customFormat="1" ht="12.75">
      <c r="A485" s="2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 t="s">
        <v>218</v>
      </c>
      <c r="N485" s="10" t="s">
        <v>219</v>
      </c>
      <c r="O485" s="31"/>
      <c r="P485" s="10"/>
    </row>
    <row r="486" spans="1:16" ht="48">
      <c r="A486" s="4" t="s">
        <v>801</v>
      </c>
      <c r="B486" s="9" t="s">
        <v>137</v>
      </c>
      <c r="C486" s="9">
        <v>92</v>
      </c>
      <c r="D486" s="9"/>
      <c r="E486" s="9" t="s">
        <v>21</v>
      </c>
      <c r="F486" s="9" t="s">
        <v>197</v>
      </c>
      <c r="G486" s="9">
        <v>33</v>
      </c>
      <c r="H486" s="9"/>
      <c r="I486" s="9"/>
      <c r="J486" s="9"/>
      <c r="K486" s="9">
        <v>12</v>
      </c>
      <c r="L486" s="9">
        <v>7</v>
      </c>
      <c r="M486" s="9" t="s">
        <v>191</v>
      </c>
      <c r="N486" s="9" t="s">
        <v>192</v>
      </c>
      <c r="O486" s="31"/>
      <c r="P486" s="9" t="str">
        <f>HYPERLINK("http://www.stromypodkontrolou.cz/map/?draw_selection_circle=1#%7B%22lat%22%3A%2049.6846846327536%2C%20%22lng%22%3A%2018.6663068456182%2C%20%22zoom%22%3A%2020%7D")</f>
        <v>http://www.stromypodkontrolou.cz/map/?draw_selection_circle=1#%7B%22lat%22%3A%2049.6846846327536%2C%20%22lng%22%3A%2018.6663068456182%2C%20%22zoom%22%3A%2020%7D</v>
      </c>
    </row>
    <row r="487" spans="1:16" ht="12.75">
      <c r="A487" s="5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 t="s">
        <v>171</v>
      </c>
      <c r="N487" s="9" t="s">
        <v>172</v>
      </c>
      <c r="O487" s="31"/>
      <c r="P487" s="9"/>
    </row>
    <row r="488" spans="1:16" s="16" customFormat="1" ht="48">
      <c r="A488" s="18" t="s">
        <v>802</v>
      </c>
      <c r="B488" s="10" t="s">
        <v>56</v>
      </c>
      <c r="C488" s="10">
        <v>105</v>
      </c>
      <c r="D488" s="10"/>
      <c r="E488" s="10" t="s">
        <v>14</v>
      </c>
      <c r="F488" s="10" t="s">
        <v>180</v>
      </c>
      <c r="G488" s="10">
        <v>61</v>
      </c>
      <c r="H488" s="10"/>
      <c r="I488" s="10"/>
      <c r="J488" s="10"/>
      <c r="K488" s="10">
        <v>24</v>
      </c>
      <c r="L488" s="10">
        <v>14</v>
      </c>
      <c r="M488" s="10" t="s">
        <v>218</v>
      </c>
      <c r="N488" s="10" t="s">
        <v>219</v>
      </c>
      <c r="O488" s="31"/>
      <c r="P488" s="10" t="str">
        <f>HYPERLINK("http://www.stromypodkontrolou.cz/map/?draw_selection_circle=1#%7B%22lat%22%3A%2049.6735775742341%2C%20%22lng%22%3A%2018.6693625910173%2C%20%22zoom%22%3A%2020%7D")</f>
        <v>http://www.stromypodkontrolou.cz/map/?draw_selection_circle=1#%7B%22lat%22%3A%2049.6735775742341%2C%20%22lng%22%3A%2018.6693625910173%2C%20%22zoom%22%3A%2020%7D</v>
      </c>
    </row>
    <row r="489" spans="1:16" ht="48">
      <c r="A489" s="19" t="s">
        <v>803</v>
      </c>
      <c r="B489" s="9" t="s">
        <v>56</v>
      </c>
      <c r="C489" s="9">
        <v>108</v>
      </c>
      <c r="D489" s="9"/>
      <c r="E489" s="9" t="s">
        <v>10</v>
      </c>
      <c r="F489" s="9" t="s">
        <v>165</v>
      </c>
      <c r="G489" s="9">
        <v>39</v>
      </c>
      <c r="H489" s="9"/>
      <c r="I489" s="9"/>
      <c r="J489" s="9"/>
      <c r="K489" s="9">
        <v>15</v>
      </c>
      <c r="L489" s="9">
        <v>8</v>
      </c>
      <c r="M489" s="9" t="s">
        <v>218</v>
      </c>
      <c r="N489" s="9" t="s">
        <v>219</v>
      </c>
      <c r="O489" s="31"/>
      <c r="P489" s="9" t="str">
        <f>HYPERLINK("http://www.stromypodkontrolou.cz/map/?draw_selection_circle=1#%7B%22lat%22%3A%2049.6734602975101%2C%20%22lng%22%3A%2018.6693127514407%2C%20%22zoom%22%3A%2020%7D")</f>
        <v>http://www.stromypodkontrolou.cz/map/?draw_selection_circle=1#%7B%22lat%22%3A%2049.6734602975101%2C%20%22lng%22%3A%2018.6693127514407%2C%20%22zoom%22%3A%2020%7D</v>
      </c>
    </row>
    <row r="490" spans="1:16" s="16" customFormat="1" ht="48">
      <c r="A490" s="18" t="s">
        <v>804</v>
      </c>
      <c r="B490" s="10" t="s">
        <v>56</v>
      </c>
      <c r="C490" s="10">
        <v>141</v>
      </c>
      <c r="D490" s="10"/>
      <c r="E490" s="10" t="s">
        <v>23</v>
      </c>
      <c r="F490" s="10" t="s">
        <v>198</v>
      </c>
      <c r="G490" s="10">
        <v>42</v>
      </c>
      <c r="H490" s="10"/>
      <c r="I490" s="10"/>
      <c r="J490" s="10"/>
      <c r="K490" s="10">
        <v>21</v>
      </c>
      <c r="L490" s="10">
        <v>9</v>
      </c>
      <c r="M490" s="10" t="s">
        <v>224</v>
      </c>
      <c r="N490" s="10" t="s">
        <v>225</v>
      </c>
      <c r="O490" s="31"/>
      <c r="P490" s="10" t="str">
        <f>HYPERLINK("http://www.stromypodkontrolou.cz/map/?draw_selection_circle=1#%7B%22lat%22%3A%2049.6729442958815%2C%20%22lng%22%3A%2018.6693784110141%2C%20%22zoom%22%3A%2020%7D")</f>
        <v>http://www.stromypodkontrolou.cz/map/?draw_selection_circle=1#%7B%22lat%22%3A%2049.6729442958815%2C%20%22lng%22%3A%2018.6693784110141%2C%20%22zoom%22%3A%2020%7D</v>
      </c>
    </row>
    <row r="491" spans="1:16" ht="48">
      <c r="A491" s="19" t="s">
        <v>805</v>
      </c>
      <c r="B491" s="9" t="s">
        <v>59</v>
      </c>
      <c r="C491" s="9">
        <v>14</v>
      </c>
      <c r="D491" s="9"/>
      <c r="E491" s="9" t="s">
        <v>11</v>
      </c>
      <c r="F491" s="9" t="s">
        <v>173</v>
      </c>
      <c r="G491" s="9">
        <v>53</v>
      </c>
      <c r="H491" s="9"/>
      <c r="I491" s="9"/>
      <c r="J491" s="9"/>
      <c r="K491" s="9">
        <v>23</v>
      </c>
      <c r="L491" s="9">
        <v>10</v>
      </c>
      <c r="M491" s="9" t="s">
        <v>191</v>
      </c>
      <c r="N491" s="9" t="s">
        <v>192</v>
      </c>
      <c r="O491" s="31"/>
      <c r="P491" s="9" t="str">
        <f>HYPERLINK("http://www.stromypodkontrolou.cz/map/?draw_selection_circle=1#%7B%22lat%22%3A%2049.6722150875%2C%20%22lng%22%3A%2018.6693989625%2C%20%22zoom%22%3A%2020%7D")</f>
        <v>http://www.stromypodkontrolou.cz/map/?draw_selection_circle=1#%7B%22lat%22%3A%2049.6722150875%2C%20%22lng%22%3A%2018.6693989625%2C%20%22zoom%22%3A%2020%7D</v>
      </c>
    </row>
    <row r="492" spans="1:16" s="16" customFormat="1" ht="48">
      <c r="A492" s="15" t="s">
        <v>806</v>
      </c>
      <c r="B492" s="10" t="s">
        <v>81</v>
      </c>
      <c r="C492" s="10">
        <v>122</v>
      </c>
      <c r="D492" s="10"/>
      <c r="E492" s="10" t="s">
        <v>21</v>
      </c>
      <c r="F492" s="10" t="s">
        <v>197</v>
      </c>
      <c r="G492" s="10">
        <v>36</v>
      </c>
      <c r="H492" s="10">
        <v>36</v>
      </c>
      <c r="I492" s="10"/>
      <c r="J492" s="10"/>
      <c r="K492" s="10">
        <v>18</v>
      </c>
      <c r="L492" s="10">
        <v>9</v>
      </c>
      <c r="M492" s="10" t="s">
        <v>218</v>
      </c>
      <c r="N492" s="10" t="s">
        <v>219</v>
      </c>
      <c r="O492" s="31"/>
      <c r="P492" s="10" t="str">
        <f>HYPERLINK("http://www.stromypodkontrolou.cz/map/?draw_selection_circle=1#%7B%22lat%22%3A%2049.666917464202%2C%20%22lng%22%3A%2018.6752825188588%2C%20%22zoom%22%3A%2020%7D")</f>
        <v>http://www.stromypodkontrolou.cz/map/?draw_selection_circle=1#%7B%22lat%22%3A%2049.666917464202%2C%20%22lng%22%3A%2018.6752825188588%2C%20%22zoom%22%3A%2020%7D</v>
      </c>
    </row>
    <row r="493" spans="1:16" s="16" customFormat="1" ht="12.75">
      <c r="A493" s="2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 t="s">
        <v>171</v>
      </c>
      <c r="N493" s="10" t="s">
        <v>172</v>
      </c>
      <c r="O493" s="31"/>
      <c r="P493" s="10"/>
    </row>
    <row r="494" spans="1:16" ht="48">
      <c r="A494" s="4" t="s">
        <v>807</v>
      </c>
      <c r="B494" s="9" t="s">
        <v>81</v>
      </c>
      <c r="C494" s="9">
        <v>141</v>
      </c>
      <c r="D494" s="9"/>
      <c r="E494" s="9" t="s">
        <v>67</v>
      </c>
      <c r="F494" s="9" t="s">
        <v>284</v>
      </c>
      <c r="G494" s="9">
        <v>15</v>
      </c>
      <c r="H494" s="9"/>
      <c r="I494" s="9"/>
      <c r="J494" s="9"/>
      <c r="K494" s="9">
        <v>8</v>
      </c>
      <c r="L494" s="9">
        <v>4</v>
      </c>
      <c r="M494" s="9" t="s">
        <v>169</v>
      </c>
      <c r="N494" s="9" t="s">
        <v>170</v>
      </c>
      <c r="O494" s="31"/>
      <c r="P494" s="9" t="str">
        <f>HYPERLINK("http://www.stromypodkontrolou.cz/map/?draw_selection_circle=1#%7B%22lat%22%3A%2049.6677858503615%2C%20%22lng%22%3A%2018.6743755994633%2C%20%22zoom%22%3A%2020%7D")</f>
        <v>http://www.stromypodkontrolou.cz/map/?draw_selection_circle=1#%7B%22lat%22%3A%2049.6677858503615%2C%20%22lng%22%3A%2018.6743755994633%2C%20%22zoom%22%3A%2020%7D</v>
      </c>
    </row>
    <row r="495" spans="1:16" ht="12.75">
      <c r="A495" s="5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 t="s">
        <v>171</v>
      </c>
      <c r="N495" s="9" t="s">
        <v>172</v>
      </c>
      <c r="O495" s="31"/>
      <c r="P495" s="9"/>
    </row>
    <row r="496" spans="1:16" s="16" customFormat="1" ht="48">
      <c r="A496" s="15" t="s">
        <v>808</v>
      </c>
      <c r="B496" s="10" t="s">
        <v>81</v>
      </c>
      <c r="C496" s="10">
        <v>143</v>
      </c>
      <c r="D496" s="10"/>
      <c r="E496" s="10" t="s">
        <v>21</v>
      </c>
      <c r="F496" s="10" t="s">
        <v>197</v>
      </c>
      <c r="G496" s="10">
        <v>40</v>
      </c>
      <c r="H496" s="10"/>
      <c r="I496" s="10"/>
      <c r="J496" s="10"/>
      <c r="K496" s="10">
        <v>17</v>
      </c>
      <c r="L496" s="10">
        <v>8</v>
      </c>
      <c r="M496" s="10" t="s">
        <v>218</v>
      </c>
      <c r="N496" s="10" t="s">
        <v>219</v>
      </c>
      <c r="O496" s="31"/>
      <c r="P496" s="10" t="str">
        <f>HYPERLINK("http://www.stromypodkontrolou.cz/map/?draw_selection_circle=1#%7B%22lat%22%3A%2049.667840417462%2C%20%22lng%22%3A%2018.6743070747337%2C%20%22zoom%22%3A%2020%7D")</f>
        <v>http://www.stromypodkontrolou.cz/map/?draw_selection_circle=1#%7B%22lat%22%3A%2049.667840417462%2C%20%22lng%22%3A%2018.6743070747337%2C%20%22zoom%22%3A%2020%7D</v>
      </c>
    </row>
    <row r="497" spans="1:16" s="16" customFormat="1" ht="12.75">
      <c r="A497" s="2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 t="s">
        <v>171</v>
      </c>
      <c r="N497" s="10" t="s">
        <v>172</v>
      </c>
      <c r="O497" s="31"/>
      <c r="P497" s="10"/>
    </row>
    <row r="498" spans="1:16" ht="48">
      <c r="A498" s="4" t="s">
        <v>809</v>
      </c>
      <c r="B498" s="9" t="s">
        <v>81</v>
      </c>
      <c r="C498" s="9">
        <v>176</v>
      </c>
      <c r="D498" s="9"/>
      <c r="E498" s="9" t="s">
        <v>21</v>
      </c>
      <c r="F498" s="9" t="s">
        <v>197</v>
      </c>
      <c r="G498" s="9">
        <v>26</v>
      </c>
      <c r="H498" s="9"/>
      <c r="I498" s="9"/>
      <c r="J498" s="9"/>
      <c r="K498" s="9">
        <v>19</v>
      </c>
      <c r="L498" s="9">
        <v>4</v>
      </c>
      <c r="M498" s="9" t="s">
        <v>171</v>
      </c>
      <c r="N498" s="9" t="s">
        <v>172</v>
      </c>
      <c r="O498" s="31"/>
      <c r="P498" s="9" t="str">
        <f>HYPERLINK("http://www.stromypodkontrolou.cz/map/?draw_selection_circle=1#%7B%22lat%22%3A%2049.6676007651754%2C%20%22lng%22%3A%2018.6737902681279%2C%20%22zoom%22%3A%2020%7D")</f>
        <v>http://www.stromypodkontrolou.cz/map/?draw_selection_circle=1#%7B%22lat%22%3A%2049.6676007651754%2C%20%22lng%22%3A%2018.6737902681279%2C%20%22zoom%22%3A%2020%7D</v>
      </c>
    </row>
    <row r="499" spans="1:16" ht="24">
      <c r="A499" s="5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 t="s">
        <v>191</v>
      </c>
      <c r="N499" s="9" t="s">
        <v>192</v>
      </c>
      <c r="O499" s="31"/>
      <c r="P499" s="9"/>
    </row>
    <row r="500" spans="1:16" s="16" customFormat="1" ht="48">
      <c r="A500" s="15" t="s">
        <v>810</v>
      </c>
      <c r="B500" s="10" t="s">
        <v>81</v>
      </c>
      <c r="C500" s="10">
        <v>181</v>
      </c>
      <c r="D500" s="10"/>
      <c r="E500" s="10" t="s">
        <v>108</v>
      </c>
      <c r="F500" s="10" t="s">
        <v>351</v>
      </c>
      <c r="G500" s="10">
        <v>15</v>
      </c>
      <c r="H500" s="10"/>
      <c r="I500" s="10"/>
      <c r="J500" s="10"/>
      <c r="K500" s="10">
        <v>8</v>
      </c>
      <c r="L500" s="10">
        <v>4</v>
      </c>
      <c r="M500" s="10" t="s">
        <v>169</v>
      </c>
      <c r="N500" s="10" t="s">
        <v>170</v>
      </c>
      <c r="O500" s="31"/>
      <c r="P500" s="10" t="str">
        <f>HYPERLINK("http://www.stromypodkontrolou.cz/map/?draw_selection_circle=1#%7B%22lat%22%3A%2049.6674058607905%2C%20%22lng%22%3A%2018.6733525615612%2C%20%22zoom%22%3A%2020%7D")</f>
        <v>http://www.stromypodkontrolou.cz/map/?draw_selection_circle=1#%7B%22lat%22%3A%2049.6674058607905%2C%20%22lng%22%3A%2018.6733525615612%2C%20%22zoom%22%3A%2020%7D</v>
      </c>
    </row>
    <row r="501" spans="1:16" s="16" customFormat="1" ht="12.75">
      <c r="A501" s="2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 t="s">
        <v>171</v>
      </c>
      <c r="N501" s="10" t="s">
        <v>172</v>
      </c>
      <c r="O501" s="31"/>
      <c r="P501" s="10"/>
    </row>
    <row r="502" spans="1:16" ht="48">
      <c r="A502" s="4" t="s">
        <v>811</v>
      </c>
      <c r="B502" s="9" t="s">
        <v>81</v>
      </c>
      <c r="C502" s="9">
        <v>179</v>
      </c>
      <c r="D502" s="9"/>
      <c r="E502" s="9" t="s">
        <v>21</v>
      </c>
      <c r="F502" s="9" t="s">
        <v>197</v>
      </c>
      <c r="G502" s="9">
        <v>29</v>
      </c>
      <c r="H502" s="9"/>
      <c r="I502" s="9"/>
      <c r="J502" s="9"/>
      <c r="K502" s="9">
        <v>16</v>
      </c>
      <c r="L502" s="9">
        <v>6</v>
      </c>
      <c r="M502" s="9" t="s">
        <v>171</v>
      </c>
      <c r="N502" s="9" t="s">
        <v>172</v>
      </c>
      <c r="O502" s="31"/>
      <c r="P502" s="9" t="str">
        <f>HYPERLINK("http://www.stromypodkontrolou.cz/map/?draw_selection_circle=1#%7B%22lat%22%3A%2049.6675278795307%2C%20%22lng%22%3A%2018.6736300131583%2C%20%22zoom%22%3A%2020%7D")</f>
        <v>http://www.stromypodkontrolou.cz/map/?draw_selection_circle=1#%7B%22lat%22%3A%2049.6675278795307%2C%20%22lng%22%3A%2018.6736300131583%2C%20%22zoom%22%3A%2020%7D</v>
      </c>
    </row>
    <row r="503" spans="1:16" ht="12.75">
      <c r="A503" s="5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 t="s">
        <v>218</v>
      </c>
      <c r="N503" s="9" t="s">
        <v>219</v>
      </c>
      <c r="O503" s="31"/>
      <c r="P503" s="9"/>
    </row>
    <row r="504" spans="1:16" s="16" customFormat="1" ht="48">
      <c r="A504" s="15" t="s">
        <v>812</v>
      </c>
      <c r="B504" s="10" t="s">
        <v>81</v>
      </c>
      <c r="C504" s="10">
        <v>171</v>
      </c>
      <c r="D504" s="10"/>
      <c r="E504" s="10" t="s">
        <v>138</v>
      </c>
      <c r="F504" s="10" t="s">
        <v>489</v>
      </c>
      <c r="G504" s="10">
        <v>28</v>
      </c>
      <c r="H504" s="10"/>
      <c r="I504" s="10"/>
      <c r="J504" s="10"/>
      <c r="K504" s="10">
        <v>21</v>
      </c>
      <c r="L504" s="10">
        <v>6</v>
      </c>
      <c r="M504" s="10" t="s">
        <v>171</v>
      </c>
      <c r="N504" s="10" t="s">
        <v>172</v>
      </c>
      <c r="O504" s="31"/>
      <c r="P504" s="10" t="str">
        <f>HYPERLINK("http://www.stromypodkontrolou.cz/map/?draw_selection_circle=1#%7B%22lat%22%3A%2049.6675455829862%2C%20%22lng%22%3A%2018.6737400728048%2C%20%22zoom%22%3A%2020%7D")</f>
        <v>http://www.stromypodkontrolou.cz/map/?draw_selection_circle=1#%7B%22lat%22%3A%2049.6675455829862%2C%20%22lng%22%3A%2018.6737400728048%2C%20%22zoom%22%3A%2020%7D</v>
      </c>
    </row>
    <row r="505" spans="1:16" s="16" customFormat="1" ht="24">
      <c r="A505" s="2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 t="s">
        <v>191</v>
      </c>
      <c r="N505" s="10" t="s">
        <v>192</v>
      </c>
      <c r="O505" s="31"/>
      <c r="P505" s="10"/>
    </row>
    <row r="506" spans="1:16" ht="48">
      <c r="A506" s="4" t="s">
        <v>813</v>
      </c>
      <c r="B506" s="9" t="s">
        <v>139</v>
      </c>
      <c r="C506" s="9">
        <v>52</v>
      </c>
      <c r="D506" s="9"/>
      <c r="E506" s="9" t="s">
        <v>21</v>
      </c>
      <c r="F506" s="9" t="s">
        <v>197</v>
      </c>
      <c r="G506" s="9">
        <v>43</v>
      </c>
      <c r="H506" s="9"/>
      <c r="I506" s="9"/>
      <c r="J506" s="9"/>
      <c r="K506" s="9">
        <v>18</v>
      </c>
      <c r="L506" s="9">
        <v>12</v>
      </c>
      <c r="M506" s="9" t="s">
        <v>218</v>
      </c>
      <c r="N506" s="9" t="s">
        <v>219</v>
      </c>
      <c r="O506" s="31"/>
      <c r="P506" s="9" t="str">
        <f>HYPERLINK("http://www.stromypodkontrolou.cz/map/?draw_selection_circle=1#%7B%22lat%22%3A%2049.6658491613036%2C%20%22lng%22%3A%2018.6758366536997%2C%20%22zoom%22%3A%2020%7D")</f>
        <v>http://www.stromypodkontrolou.cz/map/?draw_selection_circle=1#%7B%22lat%22%3A%2049.6658491613036%2C%20%22lng%22%3A%2018.6758366536997%2C%20%22zoom%22%3A%2020%7D</v>
      </c>
    </row>
    <row r="507" spans="1:16" ht="12.75">
      <c r="A507" s="5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 t="s">
        <v>171</v>
      </c>
      <c r="N507" s="9" t="s">
        <v>172</v>
      </c>
      <c r="O507" s="31"/>
      <c r="P507" s="9"/>
    </row>
    <row r="508" spans="1:16" s="16" customFormat="1" ht="48">
      <c r="A508" s="15" t="s">
        <v>814</v>
      </c>
      <c r="B508" s="10" t="s">
        <v>140</v>
      </c>
      <c r="C508" s="10">
        <v>3</v>
      </c>
      <c r="D508" s="10"/>
      <c r="E508" s="10" t="s">
        <v>10</v>
      </c>
      <c r="F508" s="10" t="s">
        <v>165</v>
      </c>
      <c r="G508" s="10">
        <v>57</v>
      </c>
      <c r="H508" s="10"/>
      <c r="I508" s="10"/>
      <c r="J508" s="10"/>
      <c r="K508" s="10">
        <v>20</v>
      </c>
      <c r="L508" s="10">
        <v>10</v>
      </c>
      <c r="M508" s="10" t="s">
        <v>191</v>
      </c>
      <c r="N508" s="10" t="s">
        <v>192</v>
      </c>
      <c r="O508" s="31"/>
      <c r="P508" s="10" t="str">
        <f>HYPERLINK("http://www.stromypodkontrolou.cz/map/?draw_selection_circle=1#%7B%22lat%22%3A%2049.6748123270012%2C%20%22lng%22%3A%2018.672435174147%2C%20%22zoom%22%3A%2020%7D")</f>
        <v>http://www.stromypodkontrolou.cz/map/?draw_selection_circle=1#%7B%22lat%22%3A%2049.6748123270012%2C%20%22lng%22%3A%2018.672435174147%2C%20%22zoom%22%3A%2020%7D</v>
      </c>
    </row>
    <row r="509" spans="1:16" s="16" customFormat="1" ht="12.75">
      <c r="A509" s="2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 t="s">
        <v>171</v>
      </c>
      <c r="N509" s="10" t="s">
        <v>172</v>
      </c>
      <c r="O509" s="31"/>
      <c r="P509" s="10"/>
    </row>
    <row r="510" spans="1:16" ht="48">
      <c r="A510" s="4" t="s">
        <v>815</v>
      </c>
      <c r="B510" s="9" t="s">
        <v>60</v>
      </c>
      <c r="C510" s="9">
        <v>87</v>
      </c>
      <c r="D510" s="9"/>
      <c r="E510" s="9" t="s">
        <v>24</v>
      </c>
      <c r="F510" s="9" t="s">
        <v>200</v>
      </c>
      <c r="G510" s="9">
        <v>47</v>
      </c>
      <c r="H510" s="9"/>
      <c r="I510" s="9"/>
      <c r="J510" s="9"/>
      <c r="K510" s="9">
        <v>19</v>
      </c>
      <c r="L510" s="9">
        <v>9</v>
      </c>
      <c r="M510" s="9" t="s">
        <v>191</v>
      </c>
      <c r="N510" s="9" t="s">
        <v>192</v>
      </c>
      <c r="O510" s="31"/>
      <c r="P510" s="9" t="str">
        <f>HYPERLINK("http://www.stromypodkontrolou.cz/map/?draw_selection_circle=1#%7B%22lat%22%3A%2049.6724322045268%2C%20%22lng%22%3A%2018.6767869722864%2C%20%22zoom%22%3A%2020%7D")</f>
        <v>http://www.stromypodkontrolou.cz/map/?draw_selection_circle=1#%7B%22lat%22%3A%2049.6724322045268%2C%20%22lng%22%3A%2018.6767869722864%2C%20%22zoom%22%3A%2020%7D</v>
      </c>
    </row>
    <row r="511" spans="1:16" ht="12.75">
      <c r="A511" s="5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 t="s">
        <v>171</v>
      </c>
      <c r="N511" s="9" t="s">
        <v>172</v>
      </c>
      <c r="O511" s="31"/>
      <c r="P511" s="9"/>
    </row>
    <row r="512" spans="1:16" s="16" customFormat="1" ht="48">
      <c r="A512" s="15" t="s">
        <v>816</v>
      </c>
      <c r="B512" s="10" t="s">
        <v>60</v>
      </c>
      <c r="C512" s="10">
        <v>88</v>
      </c>
      <c r="D512" s="10"/>
      <c r="E512" s="10" t="s">
        <v>24</v>
      </c>
      <c r="F512" s="10" t="s">
        <v>200</v>
      </c>
      <c r="G512" s="10">
        <v>52</v>
      </c>
      <c r="H512" s="10"/>
      <c r="I512" s="10"/>
      <c r="J512" s="10"/>
      <c r="K512" s="10">
        <v>19</v>
      </c>
      <c r="L512" s="10">
        <v>10</v>
      </c>
      <c r="M512" s="10" t="s">
        <v>191</v>
      </c>
      <c r="N512" s="10" t="s">
        <v>192</v>
      </c>
      <c r="O512" s="31"/>
      <c r="P512" s="10" t="str">
        <f>HYPERLINK("http://www.stromypodkontrolou.cz/map/?draw_selection_circle=1#%7B%22lat%22%3A%2049.6723621135364%2C%20%22lng%22%3A%2018.676725736592%2C%20%22zoom%22%3A%2020%7D")</f>
        <v>http://www.stromypodkontrolou.cz/map/?draw_selection_circle=1#%7B%22lat%22%3A%2049.6723621135364%2C%20%22lng%22%3A%2018.676725736592%2C%20%22zoom%22%3A%2020%7D</v>
      </c>
    </row>
    <row r="513" spans="1:16" s="16" customFormat="1" ht="12.75">
      <c r="A513" s="2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 t="s">
        <v>171</v>
      </c>
      <c r="N513" s="10" t="s">
        <v>172</v>
      </c>
      <c r="O513" s="31"/>
      <c r="P513" s="10"/>
    </row>
    <row r="514" spans="1:16" ht="48">
      <c r="A514" s="4" t="s">
        <v>817</v>
      </c>
      <c r="B514" s="9" t="s">
        <v>141</v>
      </c>
      <c r="C514" s="9">
        <v>1</v>
      </c>
      <c r="D514" s="9"/>
      <c r="E514" s="9" t="s">
        <v>11</v>
      </c>
      <c r="F514" s="9" t="s">
        <v>173</v>
      </c>
      <c r="G514" s="9">
        <v>47</v>
      </c>
      <c r="H514" s="9"/>
      <c r="I514" s="9"/>
      <c r="J514" s="9"/>
      <c r="K514" s="9">
        <v>18</v>
      </c>
      <c r="L514" s="9">
        <v>8</v>
      </c>
      <c r="M514" s="9" t="s">
        <v>171</v>
      </c>
      <c r="N514" s="9" t="s">
        <v>172</v>
      </c>
      <c r="O514" s="31"/>
      <c r="P514" s="9" t="str">
        <f>HYPERLINK("http://www.stromypodkontrolou.cz/map/?draw_selection_circle=1#%7B%22lat%22%3A%2049.6746368899376%2C%20%22lng%22%3A%2018.6726080008112%2C%20%22zoom%22%3A%2020%7D")</f>
        <v>http://www.stromypodkontrolou.cz/map/?draw_selection_circle=1#%7B%22lat%22%3A%2049.6746368899376%2C%20%22lng%22%3A%2018.6726080008112%2C%20%22zoom%22%3A%2020%7D</v>
      </c>
    </row>
    <row r="515" spans="1:16" ht="24">
      <c r="A515" s="5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 t="s">
        <v>191</v>
      </c>
      <c r="N515" s="9" t="s">
        <v>192</v>
      </c>
      <c r="O515" s="31"/>
      <c r="P515" s="9"/>
    </row>
    <row r="516" spans="1:16" s="16" customFormat="1" ht="48">
      <c r="A516" s="15" t="s">
        <v>818</v>
      </c>
      <c r="B516" s="10" t="s">
        <v>116</v>
      </c>
      <c r="C516" s="10">
        <v>24</v>
      </c>
      <c r="D516" s="10"/>
      <c r="E516" s="10" t="s">
        <v>21</v>
      </c>
      <c r="F516" s="10" t="s">
        <v>197</v>
      </c>
      <c r="G516" s="10">
        <v>46</v>
      </c>
      <c r="H516" s="10"/>
      <c r="I516" s="10"/>
      <c r="J516" s="10"/>
      <c r="K516" s="10">
        <v>23</v>
      </c>
      <c r="L516" s="10">
        <v>9</v>
      </c>
      <c r="M516" s="10" t="s">
        <v>191</v>
      </c>
      <c r="N516" s="10" t="s">
        <v>192</v>
      </c>
      <c r="O516" s="31"/>
      <c r="P516" s="10" t="str">
        <f>HYPERLINK("http://www.stromypodkontrolou.cz/map/?draw_selection_circle=1#%7B%22lat%22%3A%2049.6648058924158%2C%20%22lng%22%3A%2018.6841811409204%2C%20%22zoom%22%3A%2020%7D")</f>
        <v>http://www.stromypodkontrolou.cz/map/?draw_selection_circle=1#%7B%22lat%22%3A%2049.6648058924158%2C%20%22lng%22%3A%2018.6841811409204%2C%20%22zoom%22%3A%2020%7D</v>
      </c>
    </row>
    <row r="517" spans="1:16" s="16" customFormat="1" ht="12.75">
      <c r="A517" s="2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 t="s">
        <v>171</v>
      </c>
      <c r="N517" s="10" t="s">
        <v>172</v>
      </c>
      <c r="O517" s="31"/>
      <c r="P517" s="10"/>
    </row>
    <row r="518" spans="1:16" ht="48">
      <c r="A518" s="4" t="s">
        <v>819</v>
      </c>
      <c r="B518" s="9" t="s">
        <v>66</v>
      </c>
      <c r="C518" s="9">
        <v>22</v>
      </c>
      <c r="D518" s="9"/>
      <c r="E518" s="9" t="s">
        <v>142</v>
      </c>
      <c r="F518" s="9" t="s">
        <v>501</v>
      </c>
      <c r="G518" s="9">
        <v>45</v>
      </c>
      <c r="H518" s="9"/>
      <c r="I518" s="9"/>
      <c r="J518" s="9"/>
      <c r="K518" s="9">
        <v>23</v>
      </c>
      <c r="L518" s="9">
        <v>7</v>
      </c>
      <c r="M518" s="9" t="s">
        <v>169</v>
      </c>
      <c r="N518" s="9" t="s">
        <v>170</v>
      </c>
      <c r="O518" s="31"/>
      <c r="P518" s="9" t="str">
        <f>HYPERLINK("http://www.stromypodkontrolou.cz/map/?draw_selection_circle=1#%7B%22lat%22%3A%2049.6652149218557%2C%20%22lng%22%3A%2018.680422926483%2C%20%22zoom%22%3A%2020%7D")</f>
        <v>http://www.stromypodkontrolou.cz/map/?draw_selection_circle=1#%7B%22lat%22%3A%2049.6652149218557%2C%20%22lng%22%3A%2018.680422926483%2C%20%22zoom%22%3A%2020%7D</v>
      </c>
    </row>
    <row r="519" spans="1:16" ht="12.75">
      <c r="A519" s="5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 t="s">
        <v>171</v>
      </c>
      <c r="N519" s="9" t="s">
        <v>172</v>
      </c>
      <c r="O519" s="31"/>
      <c r="P519" s="9"/>
    </row>
    <row r="520" spans="1:16" s="16" customFormat="1" ht="48">
      <c r="A520" s="15" t="s">
        <v>820</v>
      </c>
      <c r="B520" s="10" t="s">
        <v>66</v>
      </c>
      <c r="C520" s="10">
        <v>23</v>
      </c>
      <c r="D520" s="10"/>
      <c r="E520" s="10" t="s">
        <v>142</v>
      </c>
      <c r="F520" s="10" t="s">
        <v>501</v>
      </c>
      <c r="G520" s="10">
        <v>57</v>
      </c>
      <c r="H520" s="10"/>
      <c r="I520" s="10"/>
      <c r="J520" s="10"/>
      <c r="K520" s="10">
        <v>24</v>
      </c>
      <c r="L520" s="10">
        <v>8</v>
      </c>
      <c r="M520" s="10" t="s">
        <v>169</v>
      </c>
      <c r="N520" s="10" t="s">
        <v>170</v>
      </c>
      <c r="O520" s="31"/>
      <c r="P520" s="10" t="str">
        <f>HYPERLINK("http://www.stromypodkontrolou.cz/map/?draw_selection_circle=1#%7B%22lat%22%3A%2049.6651575182613%2C%20%22lng%22%3A%2018.6804764215534%2C%20%22zoom%22%3A%2020%7D")</f>
        <v>http://www.stromypodkontrolou.cz/map/?draw_selection_circle=1#%7B%22lat%22%3A%2049.6651575182613%2C%20%22lng%22%3A%2018.6804764215534%2C%20%22zoom%22%3A%2020%7D</v>
      </c>
    </row>
    <row r="521" spans="1:16" s="16" customFormat="1" ht="12.75">
      <c r="A521" s="2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 t="s">
        <v>171</v>
      </c>
      <c r="N521" s="10" t="s">
        <v>172</v>
      </c>
      <c r="O521" s="31"/>
      <c r="P521" s="10"/>
    </row>
    <row r="522" spans="1:16" ht="48">
      <c r="A522" s="4" t="s">
        <v>821</v>
      </c>
      <c r="B522" s="9" t="s">
        <v>66</v>
      </c>
      <c r="C522" s="9">
        <v>24</v>
      </c>
      <c r="D522" s="9"/>
      <c r="E522" s="9" t="s">
        <v>142</v>
      </c>
      <c r="F522" s="9" t="s">
        <v>501</v>
      </c>
      <c r="G522" s="9">
        <v>48</v>
      </c>
      <c r="H522" s="9"/>
      <c r="I522" s="9"/>
      <c r="J522" s="9"/>
      <c r="K522" s="9">
        <v>24</v>
      </c>
      <c r="L522" s="9">
        <v>7</v>
      </c>
      <c r="M522" s="9" t="s">
        <v>169</v>
      </c>
      <c r="N522" s="9" t="s">
        <v>170</v>
      </c>
      <c r="O522" s="31"/>
      <c r="P522" s="9" t="str">
        <f>HYPERLINK("http://www.stromypodkontrolou.cz/map/?draw_selection_circle=1#%7B%22lat%22%3A%2049.6651224382791%2C%20%22lng%22%3A%2018.6805091129197%2C%20%22zoom%22%3A%2020%7D")</f>
        <v>http://www.stromypodkontrolou.cz/map/?draw_selection_circle=1#%7B%22lat%22%3A%2049.6651224382791%2C%20%22lng%22%3A%2018.6805091129197%2C%20%22zoom%22%3A%2020%7D</v>
      </c>
    </row>
    <row r="523" spans="1:16" ht="12.75">
      <c r="A523" s="5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 t="s">
        <v>171</v>
      </c>
      <c r="N523" s="9" t="s">
        <v>172</v>
      </c>
      <c r="O523" s="31"/>
      <c r="P523" s="9"/>
    </row>
    <row r="524" spans="1:16" s="16" customFormat="1" ht="48">
      <c r="A524" s="15" t="s">
        <v>822</v>
      </c>
      <c r="B524" s="10" t="s">
        <v>66</v>
      </c>
      <c r="C524" s="10">
        <v>30</v>
      </c>
      <c r="D524" s="10"/>
      <c r="E524" s="10" t="s">
        <v>142</v>
      </c>
      <c r="F524" s="10" t="s">
        <v>501</v>
      </c>
      <c r="G524" s="10">
        <v>58</v>
      </c>
      <c r="H524" s="10"/>
      <c r="I524" s="10"/>
      <c r="J524" s="10"/>
      <c r="K524" s="10">
        <v>23</v>
      </c>
      <c r="L524" s="10">
        <v>8</v>
      </c>
      <c r="M524" s="10" t="s">
        <v>169</v>
      </c>
      <c r="N524" s="10" t="s">
        <v>170</v>
      </c>
      <c r="O524" s="31"/>
      <c r="P524" s="10" t="str">
        <f>HYPERLINK("http://www.stromypodkontrolou.cz/map/?draw_selection_circle=1#%7B%22lat%22%3A%2049.6647441923316%2C%20%22lng%22%3A%2018.6808985790613%2C%20%22zoom%22%3A%2020%7D")</f>
        <v>http://www.stromypodkontrolou.cz/map/?draw_selection_circle=1#%7B%22lat%22%3A%2049.6647441923316%2C%20%22lng%22%3A%2018.6808985790613%2C%20%22zoom%22%3A%2020%7D</v>
      </c>
    </row>
    <row r="525" spans="1:16" s="16" customFormat="1" ht="12.75">
      <c r="A525" s="2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 t="s">
        <v>171</v>
      </c>
      <c r="N525" s="10" t="s">
        <v>172</v>
      </c>
      <c r="O525" s="31"/>
      <c r="P525" s="10"/>
    </row>
    <row r="526" spans="1:16" ht="48">
      <c r="A526" s="4" t="s">
        <v>823</v>
      </c>
      <c r="B526" s="9" t="s">
        <v>66</v>
      </c>
      <c r="C526" s="9">
        <v>31</v>
      </c>
      <c r="D526" s="9"/>
      <c r="E526" s="9" t="s">
        <v>142</v>
      </c>
      <c r="F526" s="9" t="s">
        <v>501</v>
      </c>
      <c r="G526" s="9">
        <v>54</v>
      </c>
      <c r="H526" s="9"/>
      <c r="I526" s="9"/>
      <c r="J526" s="9"/>
      <c r="K526" s="9">
        <v>23</v>
      </c>
      <c r="L526" s="9">
        <v>8</v>
      </c>
      <c r="M526" s="9" t="s">
        <v>169</v>
      </c>
      <c r="N526" s="9" t="s">
        <v>170</v>
      </c>
      <c r="O526" s="31"/>
      <c r="P526" s="9" t="str">
        <f>HYPERLINK("http://www.stromypodkontrolou.cz/map/?draw_selection_circle=1#%7B%22lat%22%3A%2049.6646758544516%2C%20%22lng%22%3A%2018.6809622623806%2C%20%22zoom%22%3A%2020%7D")</f>
        <v>http://www.stromypodkontrolou.cz/map/?draw_selection_circle=1#%7B%22lat%22%3A%2049.6646758544516%2C%20%22lng%22%3A%2018.6809622623806%2C%20%22zoom%22%3A%2020%7D</v>
      </c>
    </row>
    <row r="527" spans="1:16" ht="12.75">
      <c r="A527" s="5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 t="s">
        <v>171</v>
      </c>
      <c r="N527" s="9" t="s">
        <v>172</v>
      </c>
      <c r="O527" s="31"/>
      <c r="P527" s="9"/>
    </row>
    <row r="528" spans="1:16" s="16" customFormat="1" ht="48">
      <c r="A528" s="15" t="s">
        <v>824</v>
      </c>
      <c r="B528" s="10" t="s">
        <v>66</v>
      </c>
      <c r="C528" s="10">
        <v>33</v>
      </c>
      <c r="D528" s="10"/>
      <c r="E528" s="10" t="s">
        <v>142</v>
      </c>
      <c r="F528" s="10" t="s">
        <v>501</v>
      </c>
      <c r="G528" s="10">
        <v>48</v>
      </c>
      <c r="H528" s="10"/>
      <c r="I528" s="10"/>
      <c r="J528" s="10"/>
      <c r="K528" s="10">
        <v>23</v>
      </c>
      <c r="L528" s="10">
        <v>7</v>
      </c>
      <c r="M528" s="10" t="s">
        <v>169</v>
      </c>
      <c r="N528" s="10" t="s">
        <v>170</v>
      </c>
      <c r="O528" s="31"/>
      <c r="P528" s="10" t="str">
        <f>HYPERLINK("http://www.stromypodkontrolou.cz/map/?draw_selection_circle=1#%7B%22lat%22%3A%2049.6645614955974%2C%20%22lng%22%3A%2018.6811052618049%2C%20%22zoom%22%3A%2020%7D")</f>
        <v>http://www.stromypodkontrolou.cz/map/?draw_selection_circle=1#%7B%22lat%22%3A%2049.6645614955974%2C%20%22lng%22%3A%2018.6811052618049%2C%20%22zoom%22%3A%2020%7D</v>
      </c>
    </row>
    <row r="529" spans="1:16" s="16" customFormat="1" ht="12.75">
      <c r="A529" s="2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 t="s">
        <v>171</v>
      </c>
      <c r="N529" s="10" t="s">
        <v>172</v>
      </c>
      <c r="O529" s="31"/>
      <c r="P529" s="10"/>
    </row>
    <row r="530" spans="1:16" ht="48">
      <c r="A530" s="19" t="s">
        <v>825</v>
      </c>
      <c r="B530" s="9" t="s">
        <v>35</v>
      </c>
      <c r="C530" s="9">
        <v>52</v>
      </c>
      <c r="D530" s="9"/>
      <c r="E530" s="9" t="s">
        <v>11</v>
      </c>
      <c r="F530" s="9" t="s">
        <v>173</v>
      </c>
      <c r="G530" s="9">
        <v>52</v>
      </c>
      <c r="H530" s="9"/>
      <c r="I530" s="9"/>
      <c r="J530" s="9"/>
      <c r="K530" s="9">
        <v>20</v>
      </c>
      <c r="L530" s="9">
        <v>9</v>
      </c>
      <c r="M530" s="9" t="s">
        <v>218</v>
      </c>
      <c r="N530" s="9" t="s">
        <v>219</v>
      </c>
      <c r="O530" s="31"/>
      <c r="P530" s="9" t="str">
        <f>HYPERLINK("http://www.stromypodkontrolou.cz/map/?draw_selection_circle=1#%7B%22lat%22%3A%2049.6685386293113%2C%20%22lng%22%3A%2018.6787217184367%2C%20%22zoom%22%3A%2020%7D")</f>
        <v>http://www.stromypodkontrolou.cz/map/?draw_selection_circle=1#%7B%22lat%22%3A%2049.6685386293113%2C%20%22lng%22%3A%2018.6787217184367%2C%20%22zoom%22%3A%2020%7D</v>
      </c>
    </row>
    <row r="531" spans="1:16" s="16" customFormat="1" ht="48">
      <c r="A531" s="15" t="s">
        <v>826</v>
      </c>
      <c r="B531" s="10" t="s">
        <v>101</v>
      </c>
      <c r="C531" s="10">
        <v>83</v>
      </c>
      <c r="D531" s="10"/>
      <c r="E531" s="10" t="s">
        <v>21</v>
      </c>
      <c r="F531" s="10" t="s">
        <v>197</v>
      </c>
      <c r="G531" s="10">
        <v>52</v>
      </c>
      <c r="H531" s="10"/>
      <c r="I531" s="10"/>
      <c r="J531" s="10"/>
      <c r="K531" s="10">
        <v>22</v>
      </c>
      <c r="L531" s="10">
        <v>10</v>
      </c>
      <c r="M531" s="10" t="s">
        <v>218</v>
      </c>
      <c r="N531" s="10" t="s">
        <v>219</v>
      </c>
      <c r="O531" s="31"/>
      <c r="P531" s="10" t="str">
        <f>HYPERLINK("http://www.stromypodkontrolou.cz/map/?draw_selection_circle=1#%7B%22lat%22%3A%2049.6653965926%2C%20%22lng%22%3A%2018.6787083%2C%20%22zoom%22%3A%2020%7D")</f>
        <v>http://www.stromypodkontrolou.cz/map/?draw_selection_circle=1#%7B%22lat%22%3A%2049.6653965926%2C%20%22lng%22%3A%2018.6787083%2C%20%22zoom%22%3A%2020%7D</v>
      </c>
    </row>
    <row r="532" spans="1:16" s="16" customFormat="1" ht="12.75">
      <c r="A532" s="2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 t="s">
        <v>171</v>
      </c>
      <c r="N532" s="10" t="s">
        <v>172</v>
      </c>
      <c r="O532" s="31"/>
      <c r="P532" s="10"/>
    </row>
    <row r="533" spans="1:16" ht="48">
      <c r="A533" s="4" t="s">
        <v>827</v>
      </c>
      <c r="B533" s="9" t="s">
        <v>101</v>
      </c>
      <c r="C533" s="9">
        <v>82</v>
      </c>
      <c r="D533" s="9"/>
      <c r="E533" s="9" t="s">
        <v>21</v>
      </c>
      <c r="F533" s="9" t="s">
        <v>197</v>
      </c>
      <c r="G533" s="9">
        <v>66</v>
      </c>
      <c r="H533" s="9"/>
      <c r="I533" s="9"/>
      <c r="J533" s="9"/>
      <c r="K533" s="9">
        <v>23</v>
      </c>
      <c r="L533" s="9">
        <v>9</v>
      </c>
      <c r="M533" s="9" t="s">
        <v>191</v>
      </c>
      <c r="N533" s="9" t="s">
        <v>192</v>
      </c>
      <c r="O533" s="31"/>
      <c r="P533" s="9" t="str">
        <f>HYPERLINK("http://www.stromypodkontrolou.cz/map/?draw_selection_circle=1#%7B%22lat%22%3A%2049.6653791070906%2C%20%22lng%22%3A%2018.67887611306%2C%20%22zoom%22%3A%2020%7D")</f>
        <v>http://www.stromypodkontrolou.cz/map/?draw_selection_circle=1#%7B%22lat%22%3A%2049.6653791070906%2C%20%22lng%22%3A%2018.67887611306%2C%20%22zoom%22%3A%2020%7D</v>
      </c>
    </row>
    <row r="534" spans="1:16" ht="12.75">
      <c r="A534" s="5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 t="s">
        <v>171</v>
      </c>
      <c r="N534" s="9" t="s">
        <v>172</v>
      </c>
      <c r="O534" s="31"/>
      <c r="P534" s="9"/>
    </row>
    <row r="535" spans="1:16" s="16" customFormat="1" ht="48">
      <c r="A535" s="15" t="s">
        <v>828</v>
      </c>
      <c r="B535" s="10" t="s">
        <v>101</v>
      </c>
      <c r="C535" s="10">
        <v>84</v>
      </c>
      <c r="D535" s="10"/>
      <c r="E535" s="10" t="s">
        <v>21</v>
      </c>
      <c r="F535" s="10" t="s">
        <v>197</v>
      </c>
      <c r="G535" s="10">
        <v>43</v>
      </c>
      <c r="H535" s="10"/>
      <c r="I535" s="10"/>
      <c r="J535" s="10"/>
      <c r="K535" s="10">
        <v>22</v>
      </c>
      <c r="L535" s="10">
        <v>7</v>
      </c>
      <c r="M535" s="10" t="s">
        <v>191</v>
      </c>
      <c r="N535" s="10" t="s">
        <v>192</v>
      </c>
      <c r="O535" s="31"/>
      <c r="P535" s="10" t="str">
        <f>HYPERLINK("http://www.stromypodkontrolou.cz/map/?draw_selection_circle=1#%7B%22lat%22%3A%2049.6653128756522%2C%20%22lng%22%3A%2018.6788631721785%2C%20%22zoom%22%3A%2020%7D")</f>
        <v>http://www.stromypodkontrolou.cz/map/?draw_selection_circle=1#%7B%22lat%22%3A%2049.6653128756522%2C%20%22lng%22%3A%2018.6788631721785%2C%20%22zoom%22%3A%2020%7D</v>
      </c>
    </row>
    <row r="536" spans="1:16" s="16" customFormat="1" ht="12.75">
      <c r="A536" s="2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 t="s">
        <v>171</v>
      </c>
      <c r="N536" s="10" t="s">
        <v>172</v>
      </c>
      <c r="O536" s="31"/>
      <c r="P536" s="10"/>
    </row>
    <row r="537" spans="1:16" ht="48">
      <c r="A537" s="4" t="s">
        <v>829</v>
      </c>
      <c r="B537" s="9" t="s">
        <v>64</v>
      </c>
      <c r="C537" s="9">
        <v>59</v>
      </c>
      <c r="D537" s="9"/>
      <c r="E537" s="9" t="s">
        <v>11</v>
      </c>
      <c r="F537" s="9" t="s">
        <v>173</v>
      </c>
      <c r="G537" s="9">
        <v>66</v>
      </c>
      <c r="H537" s="9"/>
      <c r="I537" s="9"/>
      <c r="J537" s="9"/>
      <c r="K537" s="9">
        <v>22</v>
      </c>
      <c r="L537" s="9">
        <v>14</v>
      </c>
      <c r="M537" s="9" t="s">
        <v>191</v>
      </c>
      <c r="N537" s="9" t="s">
        <v>192</v>
      </c>
      <c r="O537" s="31"/>
      <c r="P537" s="9" t="str">
        <f>HYPERLINK("http://www.stromypodkontrolou.cz/map/?draw_selection_circle=1#%7B%22lat%22%3A%2049.6635301110313%2C%20%22lng%22%3A%2018.6855509858763%2C%20%22zoom%22%3A%2020%7D")</f>
        <v>http://www.stromypodkontrolou.cz/map/?draw_selection_circle=1#%7B%22lat%22%3A%2049.6635301110313%2C%20%22lng%22%3A%2018.6855509858763%2C%20%22zoom%22%3A%2020%7D</v>
      </c>
    </row>
    <row r="538" spans="1:16" ht="12.75">
      <c r="A538" s="5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 t="s">
        <v>171</v>
      </c>
      <c r="N538" s="9" t="s">
        <v>172</v>
      </c>
      <c r="O538" s="31"/>
      <c r="P538" s="9"/>
    </row>
    <row r="539" spans="1:16" s="16" customFormat="1" ht="48">
      <c r="A539" s="15" t="s">
        <v>830</v>
      </c>
      <c r="B539" s="10" t="s">
        <v>64</v>
      </c>
      <c r="C539" s="10">
        <v>6</v>
      </c>
      <c r="D539" s="10"/>
      <c r="E539" s="10" t="s">
        <v>24</v>
      </c>
      <c r="F539" s="10" t="s">
        <v>200</v>
      </c>
      <c r="G539" s="10">
        <v>38</v>
      </c>
      <c r="H539" s="10"/>
      <c r="I539" s="10"/>
      <c r="J539" s="10"/>
      <c r="K539" s="10">
        <v>15</v>
      </c>
      <c r="L539" s="10">
        <v>8</v>
      </c>
      <c r="M539" s="10" t="s">
        <v>169</v>
      </c>
      <c r="N539" s="10" t="s">
        <v>170</v>
      </c>
      <c r="O539" s="31"/>
      <c r="P539" s="10" t="str">
        <f>HYPERLINK("http://www.stromypodkontrolou.cz/map/?draw_selection_circle=1#%7B%22lat%22%3A%2049.6642096728028%2C%20%22lng%22%3A%2018.6863028700314%2C%20%22zoom%22%3A%2020%7D")</f>
        <v>http://www.stromypodkontrolou.cz/map/?draw_selection_circle=1#%7B%22lat%22%3A%2049.6642096728028%2C%20%22lng%22%3A%2018.6863028700314%2C%20%22zoom%22%3A%2020%7D</v>
      </c>
    </row>
    <row r="540" spans="1:16" s="16" customFormat="1" ht="12.75">
      <c r="A540" s="2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 t="s">
        <v>171</v>
      </c>
      <c r="N540" s="10" t="s">
        <v>172</v>
      </c>
      <c r="O540" s="31"/>
      <c r="P540" s="10"/>
    </row>
    <row r="541" spans="1:16" ht="48">
      <c r="A541" s="4" t="s">
        <v>831</v>
      </c>
      <c r="B541" s="9" t="s">
        <v>64</v>
      </c>
      <c r="C541" s="9">
        <v>2</v>
      </c>
      <c r="D541" s="9"/>
      <c r="E541" s="9" t="s">
        <v>14</v>
      </c>
      <c r="F541" s="9" t="s">
        <v>180</v>
      </c>
      <c r="G541" s="9">
        <v>40</v>
      </c>
      <c r="H541" s="9"/>
      <c r="I541" s="9"/>
      <c r="J541" s="9"/>
      <c r="K541" s="9">
        <v>16</v>
      </c>
      <c r="L541" s="9">
        <v>8</v>
      </c>
      <c r="M541" s="9" t="s">
        <v>218</v>
      </c>
      <c r="N541" s="9" t="s">
        <v>219</v>
      </c>
      <c r="O541" s="31"/>
      <c r="P541" s="9" t="str">
        <f>HYPERLINK("http://www.stromypodkontrolou.cz/map/?draw_selection_circle=1#%7B%22lat%22%3A%2049.6643284985701%2C%20%22lng%22%3A%2018.6861538103269%2C%20%22zoom%22%3A%2020%7D")</f>
        <v>http://www.stromypodkontrolou.cz/map/?draw_selection_circle=1#%7B%22lat%22%3A%2049.6643284985701%2C%20%22lng%22%3A%2018.6861538103269%2C%20%22zoom%22%3A%2020%7D</v>
      </c>
    </row>
    <row r="542" spans="1:16" ht="12.75">
      <c r="A542" s="5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 t="s">
        <v>171</v>
      </c>
      <c r="N542" s="9" t="s">
        <v>172</v>
      </c>
      <c r="O542" s="31"/>
      <c r="P542" s="9"/>
    </row>
    <row r="543" spans="1:16" s="16" customFormat="1" ht="48">
      <c r="A543" s="15" t="s">
        <v>832</v>
      </c>
      <c r="B543" s="10" t="s">
        <v>25</v>
      </c>
      <c r="C543" s="10">
        <v>128</v>
      </c>
      <c r="D543" s="10"/>
      <c r="E543" s="10" t="s">
        <v>24</v>
      </c>
      <c r="F543" s="10" t="s">
        <v>200</v>
      </c>
      <c r="G543" s="10">
        <v>32</v>
      </c>
      <c r="H543" s="10"/>
      <c r="I543" s="10"/>
      <c r="J543" s="10"/>
      <c r="K543" s="10">
        <v>16</v>
      </c>
      <c r="L543" s="10">
        <v>8</v>
      </c>
      <c r="M543" s="10" t="s">
        <v>191</v>
      </c>
      <c r="N543" s="10" t="s">
        <v>192</v>
      </c>
      <c r="O543" s="31"/>
      <c r="P543" s="10" t="str">
        <f>HYPERLINK("http://www.stromypodkontrolou.cz/map/?draw_selection_circle=1#%7B%22lat%22%3A%2049.664517991045%2C%20%22lng%22%3A%2018.673287409641%2C%20%22zoom%22%3A%2020%7D")</f>
        <v>http://www.stromypodkontrolou.cz/map/?draw_selection_circle=1#%7B%22lat%22%3A%2049.664517991045%2C%20%22lng%22%3A%2018.673287409641%2C%20%22zoom%22%3A%2020%7D</v>
      </c>
    </row>
    <row r="544" spans="1:16" s="16" customFormat="1" ht="12.75">
      <c r="A544" s="2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 t="s">
        <v>171</v>
      </c>
      <c r="N544" s="10" t="s">
        <v>172</v>
      </c>
      <c r="O544" s="31"/>
      <c r="P544" s="10"/>
    </row>
    <row r="545" spans="1:16" ht="48">
      <c r="A545" s="4" t="s">
        <v>833</v>
      </c>
      <c r="B545" s="9" t="s">
        <v>124</v>
      </c>
      <c r="C545" s="9">
        <v>26</v>
      </c>
      <c r="D545" s="9"/>
      <c r="E545" s="9" t="s">
        <v>14</v>
      </c>
      <c r="F545" s="9" t="s">
        <v>180</v>
      </c>
      <c r="G545" s="9">
        <v>50</v>
      </c>
      <c r="H545" s="9"/>
      <c r="I545" s="9"/>
      <c r="J545" s="9"/>
      <c r="K545" s="9">
        <v>14</v>
      </c>
      <c r="L545" s="9">
        <v>10</v>
      </c>
      <c r="M545" s="9" t="s">
        <v>169</v>
      </c>
      <c r="N545" s="9" t="s">
        <v>170</v>
      </c>
      <c r="O545" s="31"/>
      <c r="P545" s="9" t="str">
        <f>HYPERLINK("http://www.stromypodkontrolou.cz/map/?draw_selection_circle=1#%7B%22lat%22%3A%2049.6637476371815%2C%20%22lng%22%3A%2018.6866140362483%2C%20%22zoom%22%3A%2020%7D")</f>
        <v>http://www.stromypodkontrolou.cz/map/?draw_selection_circle=1#%7B%22lat%22%3A%2049.6637476371815%2C%20%22lng%22%3A%2018.6866140362483%2C%20%22zoom%22%3A%2020%7D</v>
      </c>
    </row>
    <row r="546" spans="1:16" ht="12.75">
      <c r="A546" s="5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 t="s">
        <v>171</v>
      </c>
      <c r="N546" s="9" t="s">
        <v>172</v>
      </c>
      <c r="O546" s="31"/>
      <c r="P546" s="9"/>
    </row>
    <row r="547" spans="1:16" s="16" customFormat="1" ht="48">
      <c r="A547" s="15" t="s">
        <v>834</v>
      </c>
      <c r="B547" s="10" t="s">
        <v>38</v>
      </c>
      <c r="C547" s="10">
        <v>114</v>
      </c>
      <c r="D547" s="10"/>
      <c r="E547" s="10" t="s">
        <v>24</v>
      </c>
      <c r="F547" s="10" t="s">
        <v>200</v>
      </c>
      <c r="G547" s="10">
        <v>39</v>
      </c>
      <c r="H547" s="10"/>
      <c r="I547" s="10"/>
      <c r="J547" s="10"/>
      <c r="K547" s="10">
        <v>14</v>
      </c>
      <c r="L547" s="10">
        <v>9</v>
      </c>
      <c r="M547" s="10" t="s">
        <v>224</v>
      </c>
      <c r="N547" s="10" t="s">
        <v>225</v>
      </c>
      <c r="O547" s="31"/>
      <c r="P547" s="10" t="str">
        <f>HYPERLINK("http://www.stromypodkontrolou.cz/map/?draw_selection_circle=1#%7B%22lat%22%3A%2049.6621872815161%2C%20%22lng%22%3A%2018.6785481748209%2C%20%22zoom%22%3A%2020%7D")</f>
        <v>http://www.stromypodkontrolou.cz/map/?draw_selection_circle=1#%7B%22lat%22%3A%2049.6621872815161%2C%20%22lng%22%3A%2018.6785481748209%2C%20%22zoom%22%3A%2020%7D</v>
      </c>
    </row>
    <row r="548" spans="1:16" s="16" customFormat="1" ht="13.5" thickBot="1">
      <c r="A548" s="2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 t="s">
        <v>171</v>
      </c>
      <c r="N548" s="10" t="s">
        <v>172</v>
      </c>
      <c r="O548" s="32"/>
      <c r="P548" s="10"/>
    </row>
    <row r="549" spans="1:15" ht="13.5" thickBot="1">
      <c r="A549" s="40" t="s">
        <v>835</v>
      </c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2"/>
      <c r="O549" s="33">
        <f>SUM(O4:O548)</f>
        <v>0</v>
      </c>
    </row>
    <row r="550" ht="12.75">
      <c r="A550" s="12"/>
    </row>
    <row r="551" spans="1:13" ht="12.75">
      <c r="A551" s="12" t="s">
        <v>842</v>
      </c>
      <c r="B551" s="38" t="s">
        <v>844</v>
      </c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</row>
    <row r="552" spans="2:13" ht="12.7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</row>
    <row r="553" spans="1:13" ht="12.75">
      <c r="A553" s="12" t="s">
        <v>843</v>
      </c>
      <c r="B553" s="38" t="s">
        <v>845</v>
      </c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</row>
    <row r="554" spans="2:13" ht="12.75"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</row>
    <row r="555" spans="2:13" ht="12.75"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</row>
    <row r="556" spans="2:13" ht="12.75"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</row>
  </sheetData>
  <sheetProtection/>
  <mergeCells count="4">
    <mergeCell ref="A1:N1"/>
    <mergeCell ref="B551:M552"/>
    <mergeCell ref="B553:M556"/>
    <mergeCell ref="A549:N549"/>
  </mergeCells>
  <printOptions/>
  <pageMargins left="0.7" right="0.7" top="0.787401575" bottom="0.787401575" header="0.3" footer="0.3"/>
  <pageSetup horizontalDpi="600" verticalDpi="600" orientation="portrait" paperSize="9" scale="71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 Kukutschová</dc:creator>
  <cp:keywords/>
  <dc:description/>
  <cp:lastModifiedBy>Administrator</cp:lastModifiedBy>
  <cp:lastPrinted>2018-10-18T06:40:01Z</cp:lastPrinted>
  <dcterms:created xsi:type="dcterms:W3CDTF">2018-10-18T06:57:00Z</dcterms:created>
  <dcterms:modified xsi:type="dcterms:W3CDTF">2018-10-18T07:33:30Z</dcterms:modified>
  <cp:category/>
  <cp:version/>
  <cp:contentType/>
  <cp:contentStatus/>
</cp:coreProperties>
</file>