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0" windowWidth="19320" windowHeight="7890" activeTab="5"/>
  </bookViews>
  <sheets>
    <sheet name="Rekapitulace" sheetId="2" r:id="rId1"/>
    <sheet name="1" sheetId="1" r:id="rId2"/>
    <sheet name="2" sheetId="9" r:id="rId3"/>
    <sheet name="3" sheetId="10" r:id="rId4"/>
    <sheet name="4" sheetId="11" r:id="rId5"/>
    <sheet name="5" sheetId="12" r:id="rId6"/>
  </sheets>
  <externalReferences>
    <externalReference r:id="rId7"/>
    <externalReference r:id="rId8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4">'4'!$1:$2</definedName>
    <definedName name="_xlnm.Print_Titles" localSheetId="5">'5'!$1:$2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45621"/>
</workbook>
</file>

<file path=xl/calcChain.xml><?xml version="1.0" encoding="utf-8"?>
<calcChain xmlns="http://schemas.openxmlformats.org/spreadsheetml/2006/main">
  <c r="G16" i="12" l="1"/>
  <c r="G15" i="12" l="1"/>
  <c r="G14" i="12"/>
  <c r="F7" i="9" l="1"/>
  <c r="F17" i="10"/>
  <c r="F5" i="10"/>
  <c r="F17" i="9"/>
  <c r="F5" i="9"/>
  <c r="F34" i="1"/>
  <c r="F37" i="1"/>
  <c r="G37" i="1"/>
  <c r="F36" i="1"/>
  <c r="F24" i="1"/>
  <c r="F8" i="1"/>
  <c r="F7" i="1"/>
  <c r="F6" i="1"/>
  <c r="F5" i="1"/>
  <c r="F4" i="1"/>
  <c r="F12" i="12" l="1"/>
  <c r="F11" i="12"/>
  <c r="F4" i="11"/>
  <c r="G12" i="10"/>
  <c r="F18" i="10"/>
  <c r="F10" i="10"/>
  <c r="F9" i="10"/>
  <c r="G16" i="9"/>
  <c r="F13" i="9"/>
  <c r="F10" i="9"/>
  <c r="F6" i="9"/>
  <c r="F18" i="9" s="1"/>
  <c r="F16" i="10" s="1"/>
  <c r="F35" i="1"/>
  <c r="G35" i="1" s="1"/>
  <c r="G36" i="1"/>
  <c r="G34" i="1"/>
  <c r="F30" i="1"/>
  <c r="F6" i="10" l="1"/>
  <c r="F33" i="1"/>
  <c r="G29" i="1"/>
  <c r="G27" i="1"/>
  <c r="F25" i="1"/>
  <c r="F10" i="1"/>
  <c r="G20" i="10" l="1"/>
  <c r="G22" i="10"/>
  <c r="G19" i="10"/>
  <c r="G16" i="10" l="1"/>
  <c r="G17" i="10"/>
  <c r="G18" i="10"/>
  <c r="G18" i="9"/>
  <c r="G10" i="10"/>
  <c r="G8" i="10"/>
  <c r="G11" i="10"/>
  <c r="G13" i="10"/>
  <c r="G14" i="10"/>
  <c r="G12" i="12"/>
  <c r="G15" i="9"/>
  <c r="G13" i="9"/>
  <c r="G11" i="9"/>
  <c r="G10" i="9"/>
  <c r="G9" i="9"/>
  <c r="G12" i="9"/>
  <c r="G14" i="9"/>
  <c r="G17" i="9"/>
  <c r="G9" i="10" l="1"/>
  <c r="G8" i="9"/>
  <c r="G31" i="1" l="1"/>
  <c r="G30" i="1"/>
  <c r="G28" i="1"/>
  <c r="G26" i="1"/>
  <c r="G32" i="1" l="1"/>
  <c r="G33" i="1"/>
  <c r="F9" i="1" l="1"/>
  <c r="G11" i="12"/>
  <c r="G10" i="12"/>
  <c r="G8" i="12"/>
  <c r="G6" i="12"/>
  <c r="G5" i="12"/>
  <c r="G4" i="11"/>
  <c r="G5" i="11"/>
  <c r="G5" i="10" l="1"/>
  <c r="G6" i="10"/>
  <c r="G7" i="9"/>
  <c r="G6" i="9"/>
  <c r="G5" i="9"/>
  <c r="G3" i="9" s="1"/>
  <c r="G25" i="1" l="1"/>
  <c r="F11" i="1"/>
  <c r="G10" i="1"/>
  <c r="F15" i="1"/>
  <c r="G15" i="1" s="1"/>
  <c r="G7" i="1"/>
  <c r="G6" i="1"/>
  <c r="G5" i="1"/>
  <c r="G24" i="1"/>
  <c r="G23" i="1"/>
  <c r="G22" i="1"/>
  <c r="G21" i="1"/>
  <c r="G20" i="1"/>
  <c r="G9" i="1"/>
  <c r="G4" i="1"/>
  <c r="F14" i="1" l="1"/>
  <c r="G14" i="1" s="1"/>
  <c r="F13" i="1"/>
  <c r="G13" i="1" s="1"/>
  <c r="F12" i="1"/>
  <c r="G12" i="1" s="1"/>
  <c r="G8" i="1"/>
  <c r="G11" i="1" l="1"/>
  <c r="F18" i="1"/>
  <c r="G18" i="1" l="1"/>
  <c r="F19" i="1"/>
  <c r="F16" i="1" l="1"/>
  <c r="G16" i="1" s="1"/>
  <c r="F17" i="1"/>
  <c r="G17" i="1" s="1"/>
  <c r="G19" i="1"/>
  <c r="G3" i="1" l="1"/>
  <c r="C20" i="2"/>
  <c r="C19" i="2" l="1"/>
  <c r="C18" i="2"/>
  <c r="C17" i="2"/>
  <c r="B20" i="2"/>
  <c r="B19" i="2"/>
  <c r="B18" i="2"/>
  <c r="B17" i="2"/>
  <c r="C16" i="2"/>
  <c r="B16" i="2"/>
  <c r="G3" i="11" l="1"/>
  <c r="D19" i="2" s="1"/>
  <c r="D16" i="2" l="1"/>
  <c r="D17" i="2"/>
  <c r="G3" i="10"/>
  <c r="D18" i="2" s="1"/>
  <c r="G13" i="12"/>
  <c r="G3" i="12" s="1"/>
  <c r="D20" i="2" s="1"/>
  <c r="D27" i="2" l="1"/>
</calcChain>
</file>

<file path=xl/sharedStrings.xml><?xml version="1.0" encoding="utf-8"?>
<sst xmlns="http://schemas.openxmlformats.org/spreadsheetml/2006/main" count="368" uniqueCount="265">
  <si>
    <t>Číselné zatřídění</t>
  </si>
  <si>
    <t>Popis položky</t>
  </si>
  <si>
    <t>Měrná jednotka</t>
  </si>
  <si>
    <t>ks</t>
  </si>
  <si>
    <t>REKAPITULACE POLOŽKOVÉHO ROZPOČTU</t>
  </si>
  <si>
    <t>Stavba:</t>
  </si>
  <si>
    <t>Objekt:</t>
  </si>
  <si>
    <t>Část:</t>
  </si>
  <si>
    <t>Objednatel: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</si>
  <si>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</si>
  <si>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</si>
  <si>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</si>
  <si>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</si>
  <si>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</si>
  <si>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</si>
  <si>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</si>
  <si>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</si>
  <si>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</si>
  <si>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</si>
  <si>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</si>
  <si>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</si>
  <si>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</si>
  <si>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</si>
  <si>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</si>
  <si>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</si>
  <si>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</si>
  <si>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A.002</t>
  </si>
  <si>
    <t>A.003</t>
  </si>
  <si>
    <t>A.004</t>
  </si>
  <si>
    <t>A.005</t>
  </si>
  <si>
    <t>A.006</t>
  </si>
  <si>
    <t>A.009</t>
  </si>
  <si>
    <t>A.010</t>
  </si>
  <si>
    <t>A.011</t>
  </si>
  <si>
    <t>A.012</t>
  </si>
  <si>
    <t>A.013</t>
  </si>
  <si>
    <t>A.017</t>
  </si>
  <si>
    <t xml:space="preserve"> </t>
  </si>
  <si>
    <t>B.003</t>
  </si>
  <si>
    <t>B.008</t>
  </si>
  <si>
    <t>B.011</t>
  </si>
  <si>
    <t>C.003</t>
  </si>
  <si>
    <t>C.006</t>
  </si>
  <si>
    <t>C.008</t>
  </si>
  <si>
    <t>C.009</t>
  </si>
  <si>
    <t>C.010</t>
  </si>
  <si>
    <t>C.014</t>
  </si>
  <si>
    <t>E.001</t>
  </si>
  <si>
    <t>E.002</t>
  </si>
  <si>
    <t>E.003</t>
  </si>
  <si>
    <t>E.004</t>
  </si>
  <si>
    <t>Zemní práce</t>
  </si>
  <si>
    <t>km</t>
  </si>
  <si>
    <t>m3</t>
  </si>
  <si>
    <t>m</t>
  </si>
  <si>
    <t>t</t>
  </si>
  <si>
    <t>Silnoproud - montáž</t>
  </si>
  <si>
    <t>Silnoproud - specifikace</t>
  </si>
  <si>
    <t>Nátěry</t>
  </si>
  <si>
    <t>hod</t>
  </si>
  <si>
    <r>
      <t xml:space="preserve">Montážní mechanismy
</t>
    </r>
    <r>
      <rPr>
        <i/>
        <sz val="12"/>
        <rFont val="Times New Roman"/>
        <family val="1"/>
        <charset val="238"/>
      </rPr>
      <t>obecné požadavky na pomocnou mechanizaci</t>
    </r>
  </si>
  <si>
    <t>Ostatní</t>
  </si>
  <si>
    <t>E.006</t>
  </si>
  <si>
    <t>A.018</t>
  </si>
  <si>
    <t>D.001</t>
  </si>
  <si>
    <t>460010025</t>
  </si>
  <si>
    <t>460200063</t>
  </si>
  <si>
    <t>460200064</t>
  </si>
  <si>
    <t>460200303</t>
  </si>
  <si>
    <t>460200304</t>
  </si>
  <si>
    <t>460421182</t>
  </si>
  <si>
    <r>
      <t xml:space="preserve">Lože kabelů z písku nebo štěrkopísku tl 10 cm nad kabel, kryté plastovou folií, š lože do 50 cm
</t>
    </r>
    <r>
      <rPr>
        <i/>
        <sz val="12"/>
        <rFont val="Times New Roman"/>
        <family val="1"/>
        <charset val="238"/>
      </rPr>
      <t>"viz pol. Č. A.002 až A. 005, viz v.č. 02</t>
    </r>
  </si>
  <si>
    <t>A.007</t>
  </si>
  <si>
    <t>167101102</t>
  </si>
  <si>
    <t>A.008</t>
  </si>
  <si>
    <t>460560033</t>
  </si>
  <si>
    <r>
      <t xml:space="preserve">Zásyp rýh ručně šířky 40 cm, hloubky 50 cm, z horniny třídy 3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</si>
  <si>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t>460560034</t>
  </si>
  <si>
    <r>
      <t xml:space="preserve">Zásyp rýh ručně šířky 40 cm, hloubky 50 cm, z horniny třídy 4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</si>
  <si>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t>460560283</t>
  </si>
  <si>
    <r>
      <t xml:space="preserve">Zásyp rýh ručně šířky 50 cm, hloubky 100 cm, z horniny třídy 3
</t>
    </r>
    <r>
      <rPr>
        <i/>
        <sz val="12"/>
        <rFont val="Times New Roman"/>
        <family val="1"/>
        <charset val="238"/>
      </rPr>
      <t>Zásyp kabelových rýh ručně včetně zhutnění šířky 40 cm hloubky 30 cm, v hornině hloubky 100 cm, v hornině třídy 3</t>
    </r>
  </si>
  <si>
    <t>460560284</t>
  </si>
  <si>
    <r>
      <t xml:space="preserve">Zásyp rýh ručně šířky 50 cm, hloubky 100 cm, z horniny třídy 4
</t>
    </r>
    <r>
      <rPr>
        <i/>
        <sz val="12"/>
        <rFont val="Times New Roman"/>
        <family val="1"/>
        <charset val="238"/>
      </rPr>
      <t>Zásyp kabelových rýh ručně včetně zhutnění šířky 40 cm hloubky 30 cm, v hornině hloubky 100 cm, v hornině třídy 4</t>
    </r>
  </si>
  <si>
    <t>997013501</t>
  </si>
  <si>
    <t>997013509</t>
  </si>
  <si>
    <t>A.014</t>
  </si>
  <si>
    <t>171201201</t>
  </si>
  <si>
    <t>A.015</t>
  </si>
  <si>
    <t>171201211</t>
  </si>
  <si>
    <t>A.016</t>
  </si>
  <si>
    <t>997013801</t>
  </si>
  <si>
    <r>
      <t xml:space="preserve">Poplatek za uložení stavebního 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</si>
  <si>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997013802</t>
  </si>
  <si>
    <r>
      <t xml:space="preserve">Poplatek za uložení stavebního železobetonového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</si>
  <si>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997013831</t>
  </si>
  <si>
    <r>
      <t xml:space="preserve">Poplatek za uložení stavebního směsného odpadu na skládce (skládkovné)
</t>
    </r>
    <r>
      <rPr>
        <i/>
        <sz val="12"/>
        <rFont val="Times New Roman"/>
        <family val="1"/>
        <charset val="238"/>
      </rPr>
      <t>dem. + odpad vzniklý při výstavbě</t>
    </r>
  </si>
  <si>
    <t>A.019</t>
  </si>
  <si>
    <t>997013813</t>
  </si>
  <si>
    <t>Poplatek za uložení stavebního odpadu z plastických hmot na skládce (skládkovné)
odpad vzniklý při výstavbě</t>
  </si>
  <si>
    <t>A.020</t>
  </si>
  <si>
    <t>460080112</t>
  </si>
  <si>
    <t>460080013</t>
  </si>
  <si>
    <t>460080045</t>
  </si>
  <si>
    <t>A.021</t>
  </si>
  <si>
    <t>210810014</t>
  </si>
  <si>
    <t>B.005</t>
  </si>
  <si>
    <t>xMEb1</t>
  </si>
  <si>
    <t>B.007</t>
  </si>
  <si>
    <t>743612112</t>
  </si>
  <si>
    <t>210010125</t>
  </si>
  <si>
    <t>B.012</t>
  </si>
  <si>
    <t>745901200</t>
  </si>
  <si>
    <t>C.001</t>
  </si>
  <si>
    <t>341110800</t>
  </si>
  <si>
    <r>
      <t xml:space="preserve">kabel silový s Cu jádrem CYKY 4x16 mm2
</t>
    </r>
    <r>
      <rPr>
        <i/>
        <sz val="12"/>
        <rFont val="Times New Roman"/>
        <family val="1"/>
        <charset val="238"/>
      </rPr>
      <t>viz B+5% prořez</t>
    </r>
  </si>
  <si>
    <t>C.004</t>
  </si>
  <si>
    <t>xMEc1</t>
  </si>
  <si>
    <t>xMEc3</t>
  </si>
  <si>
    <t>C.007</t>
  </si>
  <si>
    <t>354420620</t>
  </si>
  <si>
    <r>
      <t xml:space="preserve">páska zemnící 30 x 4 mm FeZn
</t>
    </r>
    <r>
      <rPr>
        <i/>
        <sz val="12"/>
        <rFont val="Times New Roman"/>
        <family val="1"/>
        <charset val="238"/>
      </rPr>
      <t>viz B</t>
    </r>
  </si>
  <si>
    <t>kg</t>
  </si>
  <si>
    <t>C.013</t>
  </si>
  <si>
    <t>789941200</t>
  </si>
  <si>
    <t>D.002</t>
  </si>
  <si>
    <t>246215300</t>
  </si>
  <si>
    <t>barva syntetická zinkochromátová černá</t>
  </si>
  <si>
    <t>xMEe1</t>
  </si>
  <si>
    <t>013254000</t>
  </si>
  <si>
    <r>
      <t xml:space="preserve">Dokumentace skutečného provedení stavby
</t>
    </r>
    <r>
      <rPr>
        <i/>
        <sz val="12"/>
        <rFont val="Times New Roman"/>
        <family val="1"/>
        <charset val="238"/>
      </rPr>
      <t>Průzkumné, geodetické a projektové práce projektové práce dokumentace stavby (výkresová a textová) skutečného provedení stavby</t>
    </r>
  </si>
  <si>
    <t>Kč</t>
  </si>
  <si>
    <t>740991300</t>
  </si>
  <si>
    <r>
      <t xml:space="preserve">Celková prohlídka elektrického rozvodu a zařízení do 1 milionu Kč  
</t>
    </r>
    <r>
      <rPr>
        <i/>
        <sz val="12"/>
        <rFont val="Times New Roman"/>
        <family val="1"/>
        <charset val="238"/>
      </rPr>
      <t>výchozí revize dle podmínek TZ</t>
    </r>
  </si>
  <si>
    <t>E.005</t>
  </si>
  <si>
    <t>xMEe2</t>
  </si>
  <si>
    <r>
      <t xml:space="preserve">Pasportizace stavby
</t>
    </r>
    <r>
      <rPr>
        <i/>
        <sz val="12"/>
        <rFont val="Times New Roman"/>
        <family val="1"/>
        <charset val="238"/>
      </rPr>
      <t>převedení DSPS do standardu pasportů správce osvětlení</t>
    </r>
  </si>
  <si>
    <t>E.007</t>
  </si>
  <si>
    <t>HZS4232</t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</si>
  <si>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posouzení výkopku z hlediska vhodnosti pro opětovný zásyp, posouzení únosnosti zeminy z hlediska přípravy zakládání sloupů</t>
    </r>
  </si>
  <si>
    <r>
      <t xml:space="preserve">Odvoz suti na skládku a vybouraných hmot nebo meziskládku do 1 km se složením
</t>
    </r>
    <r>
      <rPr>
        <i/>
        <sz val="12"/>
        <rFont val="Times New Roman"/>
        <family val="1"/>
        <charset val="238"/>
      </rPr>
      <t>Odvoz suti a vybouraných hmot na skládku nebo meziskládku se složením, na vzdálenost do 1 km (A15 až A19)</t>
    </r>
  </si>
  <si>
    <r>
      <t xml:space="preserve">Příplatek k odvozu suti a vybouraných hmot na skládku ZKD 1 km přes 1 km
</t>
    </r>
    <r>
      <rPr>
        <i/>
        <sz val="12"/>
        <rFont val="Times New Roman"/>
        <family val="1"/>
        <charset val="238"/>
      </rPr>
      <t>Odvoz suti a vybouraných hmot na skládku nebo meziskládku se složením, na vzdálenost Příplatek k ceně za každý další i započatý 1 km přes 1 km (A15 do 1km, A16 až 19 do 20km)</t>
    </r>
  </si>
  <si>
    <t>460050003</t>
  </si>
  <si>
    <t>274322611</t>
  </si>
  <si>
    <t>460050013</t>
  </si>
  <si>
    <t>xMEa1</t>
  </si>
  <si>
    <t>xMEa2</t>
  </si>
  <si>
    <t>A.022</t>
  </si>
  <si>
    <t>A.023</t>
  </si>
  <si>
    <t>A.024</t>
  </si>
  <si>
    <t>A.025</t>
  </si>
  <si>
    <t>A.026</t>
  </si>
  <si>
    <t>A.027</t>
  </si>
  <si>
    <t>748721210</t>
  </si>
  <si>
    <t>210204002</t>
  </si>
  <si>
    <t>210810005</t>
  </si>
  <si>
    <t>748741000</t>
  </si>
  <si>
    <t>748742000</t>
  </si>
  <si>
    <t>210204011</t>
  </si>
  <si>
    <t>748132300</t>
  </si>
  <si>
    <t>210292011</t>
  </si>
  <si>
    <r>
      <t xml:space="preserve">Ostatní práce při montáži vodičů,šňůr a kabelů - označení vodiče a kabelu dalším štítkem
</t>
    </r>
    <r>
      <rPr>
        <i/>
        <sz val="12"/>
        <rFont val="Times New Roman"/>
        <family val="1"/>
        <charset val="238"/>
      </rPr>
      <t>štítek označení kabelů, 3*BM</t>
    </r>
  </si>
  <si>
    <t>E.008</t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</si>
  <si>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placená součinnost správce</t>
    </r>
  </si>
  <si>
    <r>
      <t xml:space="preserve">Písmomalířské práce číslice a písmena výšky do 10 cm
</t>
    </r>
    <r>
      <rPr>
        <i/>
        <sz val="12"/>
        <rFont val="Times New Roman"/>
        <family val="1"/>
        <charset val="238"/>
      </rPr>
      <t>dle předpokládaného číslování sloupů a rozvaděčů, může doznat změn dle aktuálního pasportu; 15*3</t>
    </r>
  </si>
  <si>
    <t>341110300</t>
  </si>
  <si>
    <t>316741090</t>
  </si>
  <si>
    <t>316770600</t>
  </si>
  <si>
    <t>354420340</t>
  </si>
  <si>
    <r>
      <t xml:space="preserve">kabel silový s Cu jádrem CYKY 3x1,5 mm2
</t>
    </r>
    <r>
      <rPr>
        <i/>
        <sz val="12"/>
        <rFont val="Times New Roman"/>
        <family val="1"/>
        <charset val="238"/>
      </rPr>
      <t>viz v.č. 02, viz B + prořez 5%</t>
    </r>
  </si>
  <si>
    <r>
      <t xml:space="preserve">Elektrovýzbroj stožáru VO
</t>
    </r>
    <r>
      <rPr>
        <i/>
        <sz val="12"/>
        <rFont val="Times New Roman"/>
        <family val="1"/>
        <charset val="238"/>
      </rPr>
      <t>elektrovýzbroj, svorkovnice pro max. 4 kabely a pojistkový odpojovač pro max 3f.  viz TZ, viz v.č. 02, viz B</t>
    </r>
  </si>
  <si>
    <t>xMEc2</t>
  </si>
  <si>
    <t>C.002</t>
  </si>
  <si>
    <t>C.005</t>
  </si>
  <si>
    <r>
      <t xml:space="preserve">Změření zemního odporu zkušební svorky
</t>
    </r>
    <r>
      <rPr>
        <i/>
        <sz val="12"/>
        <rFont val="Times New Roman"/>
        <family val="1"/>
        <charset val="238"/>
      </rPr>
      <t>Manipulace na stávajícím vedení změření zemního odporu s demontáží proměřením a opětovným smontováním svorky zkušební svorky, provedeno pro všechny sloupy BM a pro svod do země</t>
    </r>
  </si>
  <si>
    <t>743622100</t>
  </si>
  <si>
    <r>
      <t xml:space="preserve">Montáž svorka hromosvodná typ SS, SR 03 se 2 šrouby
</t>
    </r>
    <r>
      <rPr>
        <i/>
        <sz val="12"/>
        <rFont val="Times New Roman"/>
        <family val="1"/>
        <charset val="238"/>
      </rPr>
      <t>spojování FeZn v trase</t>
    </r>
  </si>
  <si>
    <t>354420330</t>
  </si>
  <si>
    <r>
      <t xml:space="preserve">svorka uzemnění  SS nerez spojovací
</t>
    </r>
    <r>
      <rPr>
        <i/>
        <sz val="12"/>
        <rFont val="Times New Roman"/>
        <family val="1"/>
        <charset val="238"/>
      </rPr>
      <t>viz v.č. 02 a TZ, vz B</t>
    </r>
  </si>
  <si>
    <t>C.011</t>
  </si>
  <si>
    <t>C.012</t>
  </si>
  <si>
    <t>C.015</t>
  </si>
  <si>
    <t>345713530</t>
  </si>
  <si>
    <t>345713630</t>
  </si>
  <si>
    <t>316770400</t>
  </si>
  <si>
    <r>
      <t xml:space="preserve">svorka uzemnění  SZa nerez zkušební
</t>
    </r>
    <r>
      <rPr>
        <i/>
        <sz val="12"/>
        <rFont val="Times New Roman"/>
        <family val="1"/>
        <charset val="238"/>
      </rPr>
      <t>viz B</t>
    </r>
  </si>
  <si>
    <r>
      <t xml:space="preserve">Nakládání výkopku z hornin tř. 1 až 4 do 100 m3
</t>
    </r>
    <r>
      <rPr>
        <i/>
        <sz val="12"/>
        <rFont val="Times New Roman"/>
        <family val="1"/>
        <charset val="238"/>
      </rPr>
      <t>"Nakládání, skládání a překládání neulehlého výkopku nebo sypaniny nakládání, množství přes 100 m3, z hornin tř. 1 až 4
výkopek nevyužitý pro opětovný zásyp,A.006*0,4*0,3+A006a</t>
    </r>
  </si>
  <si>
    <r>
      <t xml:space="preserve">Uložení sypaniny na skládky
</t>
    </r>
    <r>
      <rPr>
        <i/>
        <sz val="12"/>
        <rFont val="Times New Roman"/>
        <family val="1"/>
        <charset val="238"/>
      </rPr>
      <t>viz A.007</t>
    </r>
  </si>
  <si>
    <r>
      <t xml:space="preserve">Uložení sypaniny poplatek za uložení sypaniny na skládce ( skládkovné )
</t>
    </r>
    <r>
      <rPr>
        <i/>
        <sz val="12"/>
        <rFont val="Times New Roman"/>
        <family val="1"/>
        <charset val="238"/>
      </rPr>
      <t>viz A.014</t>
    </r>
  </si>
  <si>
    <r>
      <t xml:space="preserve">Hloubení kabelových nezapažených rýh ručně š 50 cm, hl 120 cm, v hornině tř 3
</t>
    </r>
    <r>
      <rPr>
        <i/>
        <sz val="12"/>
        <rFont val="Times New Roman"/>
        <family val="1"/>
        <charset val="238"/>
      </rPr>
      <t>viz A.002, 0,6*59</t>
    </r>
  </si>
  <si>
    <r>
      <t xml:space="preserve">Hloubení kabelových nezapažených rýh ručně š 50 cm, hl 120 cm, v hornině tř 4
</t>
    </r>
    <r>
      <rPr>
        <i/>
        <sz val="12"/>
        <rFont val="Times New Roman"/>
        <family val="1"/>
        <charset val="238"/>
      </rPr>
      <t>viz A.003, 0,4*59</t>
    </r>
  </si>
  <si>
    <t>Nasvětlení přechodů pro chodce  na ul. Jablunkovské v Třinci</t>
  </si>
  <si>
    <t>Město Třinec, Jablunkovská 160, 739 64, Třinec</t>
  </si>
  <si>
    <t>Elektro Projekce s.r.o.</t>
  </si>
  <si>
    <t>07/2017</t>
  </si>
  <si>
    <r>
      <t xml:space="preserve">Vytyčení trasy inženýrských sítí v zastavěném prostoru
</t>
    </r>
    <r>
      <rPr>
        <i/>
        <sz val="12"/>
        <rFont val="Times New Roman"/>
        <family val="1"/>
        <charset val="238"/>
      </rPr>
      <t>viz. výkresová část</t>
    </r>
  </si>
  <si>
    <r>
      <t xml:space="preserve">Základové konstrukce z monolitického betonu C 12/15 bez bednění
</t>
    </r>
    <r>
      <rPr>
        <i/>
        <sz val="12"/>
        <rFont val="Times New Roman"/>
        <family val="1"/>
        <charset val="238"/>
      </rPr>
      <t>obetonování chrániček, mechnická ochrana kabelu - pojezdové plochy, viz. výkresová část</t>
    </r>
  </si>
  <si>
    <r>
      <t xml:space="preserve">Výztuž základových konstrukcí svařovanými sítěmi Kari
</t>
    </r>
    <r>
      <rPr>
        <i/>
        <sz val="12"/>
        <rFont val="Times New Roman"/>
        <family val="1"/>
        <charset val="238"/>
      </rPr>
      <t>výztuž prostupů pod komunikacemi, viz. pol.č. A.006a</t>
    </r>
  </si>
  <si>
    <r>
      <t xml:space="preserve">Bourání základu betonového se záhozem jámy sypaninou
</t>
    </r>
    <r>
      <rPr>
        <i/>
        <sz val="12"/>
        <rFont val="Times New Roman"/>
        <family val="1"/>
        <charset val="238"/>
      </rPr>
      <t>Základové konstrukce bourání betonového základu včetně záhozu jámy sypaninou, zhutnění a urovnání stáv. povrchu. (Demontáže stávajícího VO na JB 1Ks + objekty v trase (odhad dle zaměření)</t>
    </r>
  </si>
  <si>
    <r>
      <t xml:space="preserve">Vrtaná jáma pro stožáry jednoduché délky do 8 m na rovině ručně v hornině tř 3
</t>
    </r>
    <r>
      <rPr>
        <i/>
        <sz val="12"/>
        <rFont val="Times New Roman"/>
        <family val="1"/>
        <charset val="238"/>
      </rPr>
      <t xml:space="preserve">Vrtaný základ pro sloup VO viz. situace. </t>
    </r>
  </si>
  <si>
    <t>xMEa3</t>
  </si>
  <si>
    <r>
      <t xml:space="preserve">Betonové konstrukce základů VO, beton do tř. C 30/37 XA
</t>
    </r>
    <r>
      <rPr>
        <i/>
        <sz val="12"/>
        <rFont val="Times New Roman"/>
        <family val="1"/>
        <charset val="238"/>
      </rPr>
      <t>beton do základů BM10-12</t>
    </r>
  </si>
  <si>
    <r>
      <t xml:space="preserve">Příslušenství pouzdrového základu VO, základ pro sloup BM 10-12
</t>
    </r>
    <r>
      <rPr>
        <i/>
        <sz val="12"/>
        <rFont val="Times New Roman"/>
        <family val="1"/>
        <charset val="238"/>
      </rPr>
      <t>viz. výkresová část</t>
    </r>
  </si>
  <si>
    <t>Hloubení nezapažených jam pro stožáry jednoduché délky do 10,5 m na rovině ručně v hornině tř 3
"Hloubení nezapažených jam ručně pro stožáry s přemístěním výkopku do vzdálenosti 3 m od okraje jámy nebo naložením na dopravní prostředek, včetně zásypu, zhutnění a urovnání povrchu bez patky jednoduché na rovině, délky přes 8 do 10,5 m, v hornině třídy 3.</t>
  </si>
  <si>
    <r>
      <t xml:space="preserve">Betonové konstrukce základů VO, beton do tř. C 30/37 XA
</t>
    </r>
    <r>
      <rPr>
        <i/>
        <sz val="12"/>
        <rFont val="Times New Roman"/>
        <family val="1"/>
        <charset val="238"/>
      </rPr>
      <t xml:space="preserve">beton do základů BMP6-7 viz řezy </t>
    </r>
  </si>
  <si>
    <r>
      <t xml:space="preserve">Příslušenství pouzdrového základu VO, základ pro sloup BMP6-7
</t>
    </r>
    <r>
      <rPr>
        <i/>
        <sz val="12"/>
        <rFont val="Times New Roman"/>
        <family val="1"/>
        <charset val="238"/>
      </rPr>
      <t>viz. výkresová část</t>
    </r>
  </si>
  <si>
    <t>A.032</t>
  </si>
  <si>
    <t>xMEa5</t>
  </si>
  <si>
    <r>
      <t xml:space="preserve">Rozebrání a obnova krytu živičného
</t>
    </r>
    <r>
      <rPr>
        <i/>
        <sz val="12"/>
        <rFont val="Times New Roman"/>
        <family val="1"/>
        <charset val="238"/>
      </rPr>
      <t>rozebrání a obnova nad i mimo výkop, položka obsahuje i potřebný rozsah rekonstrukce obrub a veškeré dotčené konstrukční vrstvy</t>
    </r>
  </si>
  <si>
    <t>m2</t>
  </si>
  <si>
    <t>A.030</t>
  </si>
  <si>
    <r>
      <t xml:space="preserve">Konečná úprava terénu ve volném terénu
</t>
    </r>
    <r>
      <rPr>
        <i/>
        <sz val="12"/>
        <rFont val="Times New Roman"/>
        <family val="1"/>
        <charset val="238"/>
      </rPr>
      <t>urovnání, osetí, příp. vrácení drnů</t>
    </r>
  </si>
  <si>
    <t>A.029</t>
  </si>
  <si>
    <t>141721113</t>
  </si>
  <si>
    <t>xMEa4</t>
  </si>
  <si>
    <t>xMEa6</t>
  </si>
  <si>
    <r>
      <t xml:space="preserve">Montáž měděných kabelů CYKY, CYKYD, CYKYDY, NYM, NYY, YSLY 750 V 4x16mm2
</t>
    </r>
    <r>
      <rPr>
        <i/>
        <sz val="12"/>
        <rFont val="Times New Roman"/>
        <family val="1"/>
        <charset val="238"/>
      </rPr>
      <t xml:space="preserve">viz v.č. 02, viz v.č. 03, do chrániček, vč. Ukončení v rozvaděčích, nebo stáv. rozvodnicích sloupů VO. </t>
    </r>
  </si>
  <si>
    <r>
      <t xml:space="preserve">Montáž vodič uzemňovací FeZn pásek průřezu do 120 mm2v průmyslové výstavbě v zemi
</t>
    </r>
    <r>
      <rPr>
        <i/>
        <sz val="12"/>
        <rFont val="Times New Roman"/>
        <family val="1"/>
        <charset val="238"/>
      </rPr>
      <t>Pásek ukládán do výkopu, nebo betonu, viz vzorové řezy.</t>
    </r>
  </si>
  <si>
    <r>
      <t xml:space="preserve">Montáž trubek ochranných plastových tuhých D do 110 mm uložených volně
</t>
    </r>
    <r>
      <rPr>
        <i/>
        <sz val="12"/>
        <rFont val="Times New Roman"/>
        <family val="1"/>
        <charset val="238"/>
      </rPr>
      <t>viz v.č.02, 03 (chráničky DVR 75 pro volné úseky, DVK 110 pod komunikací)</t>
    </r>
  </si>
  <si>
    <r>
      <t xml:space="preserve">Montáž výložník osvětlení jednoramenný sloupový do 35 kg
</t>
    </r>
    <r>
      <rPr>
        <i/>
        <sz val="12"/>
        <rFont val="Times New Roman"/>
        <family val="1"/>
        <charset val="238"/>
      </rPr>
      <t>Výložník jednoduchý pro osvětlení přechodu viz příloha č.1 TZ</t>
    </r>
  </si>
  <si>
    <t>A.028</t>
  </si>
  <si>
    <t>A.031</t>
  </si>
  <si>
    <t>A.033</t>
  </si>
  <si>
    <r>
      <t xml:space="preserve">Montáž stožárů osvětlení, bez zemních prací  ocelových do 6-7m výšky
</t>
    </r>
    <r>
      <rPr>
        <i/>
        <sz val="12"/>
        <rFont val="Times New Roman"/>
        <family val="1"/>
        <charset val="238"/>
      </rPr>
      <t>viz výkresová část + TZ</t>
    </r>
  </si>
  <si>
    <r>
      <t xml:space="preserve">Montáž elektrovýzbroje stožárů osvětlení 1 okruh
</t>
    </r>
    <r>
      <rPr>
        <i/>
        <sz val="12"/>
        <rFont val="Times New Roman"/>
        <family val="1"/>
        <charset val="238"/>
      </rPr>
      <t>elektrovýzbroj, svorkovnice pro max. 4 kabely a pojistkový odpojovač,  viz TZ,</t>
    </r>
  </si>
  <si>
    <r>
      <t xml:space="preserve">Montáž elektrovýzbroje stožárů osvětlení 2 okruhy
</t>
    </r>
    <r>
      <rPr>
        <i/>
        <sz val="12"/>
        <rFont val="Times New Roman"/>
        <family val="1"/>
        <charset val="238"/>
      </rPr>
      <t>elektrovýzbroj, svorkovnice pro max. 4 kabely a 2xpojistkový odpojovač,  sloup BM10-12 osazenýsvítidlem VO + svítidlo pro osvětlení přechodů</t>
    </r>
  </si>
  <si>
    <t xml:space="preserve">Montáž stožárů osvětlení, bez zemních prací ocelových samostatně stojících, délky do 12 m
</t>
  </si>
  <si>
    <r>
      <t xml:space="preserve">Montáž svítidel výbojkových/ LED se zapojením vodičů průmyslových nebo venkovních na výložník
</t>
    </r>
    <r>
      <rPr>
        <i/>
        <sz val="12"/>
        <rFont val="Times New Roman"/>
        <family val="1"/>
        <charset val="238"/>
      </rPr>
      <t>viz TZ - montáž svítidla VO stávajícího typu dle současného stavu</t>
    </r>
  </si>
  <si>
    <r>
      <t xml:space="preserve">Montáž svítidel přechodových - LED se zapojením vodičů průmyslových nebo venkovních na výložník
</t>
    </r>
    <r>
      <rPr>
        <i/>
        <sz val="12"/>
        <rFont val="Times New Roman"/>
        <family val="1"/>
        <charset val="238"/>
      </rPr>
      <t>viz TZ - montáž svítidla VO stávajícího typu dle současného stavu</t>
    </r>
  </si>
  <si>
    <r>
      <t xml:space="preserve">Svítidlo přechodové  -LED (75-139W), </t>
    </r>
    <r>
      <rPr>
        <b/>
        <sz val="12"/>
        <rFont val="Times New Roman"/>
        <family val="1"/>
        <charset val="238"/>
      </rPr>
      <t>typ a výkon dle TZ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Svítidla pro jednotlivé lokality viz. TZ!! + příloha TZ. (LED 75-139W s bílým světlem ), včetně zdroje. Svítidla musí umožňovat centrální stmívání (řízení napětím)</t>
    </r>
  </si>
  <si>
    <r>
      <t xml:space="preserve">Silniční svítidlo, typ a výkon dle stáv. stavu.
</t>
    </r>
    <r>
      <rPr>
        <i/>
        <sz val="12"/>
        <rFont val="Times New Roman"/>
        <family val="1"/>
        <charset val="238"/>
      </rPr>
      <t xml:space="preserve">Bude provedena výměna stávajícího svitidla VO. Svítidlo dle aktuálního typu. Včetně zdroje, výbojky atd… </t>
    </r>
  </si>
  <si>
    <t>Montáž měděných kabelů CYKY, CYKYD, CYKYDY, NYM, NYY, YSLY 750 V 3x1,5 mm2 uložených volně</t>
  </si>
  <si>
    <r>
      <t xml:space="preserve">stožár osvětlovací BM 10-12 pozinkovaný- uliční
</t>
    </r>
    <r>
      <rPr>
        <i/>
        <sz val="12"/>
        <rFont val="Times New Roman"/>
        <family val="1"/>
        <charset val="238"/>
      </rPr>
      <t>viz. výkresová část + TZ</t>
    </r>
  </si>
  <si>
    <r>
      <t xml:space="preserve">trubka elektroinstalační ohebná, HDPE+LDPE KF
</t>
    </r>
    <r>
      <rPr>
        <i/>
        <sz val="12"/>
        <rFont val="Times New Roman"/>
        <family val="1"/>
        <charset val="238"/>
      </rPr>
      <t>trasy mimo pojezd + pojezd, viz vzorové řezy - DVR75</t>
    </r>
  </si>
  <si>
    <r>
      <t xml:space="preserve">trubka elektroinstalační tuhá HDPE KD
</t>
    </r>
    <r>
      <rPr>
        <i/>
        <sz val="12"/>
        <rFont val="Times New Roman"/>
        <family val="1"/>
        <charset val="238"/>
      </rPr>
      <t xml:space="preserve">trasy pod pojezdovou plochou, osazení viz řezy </t>
    </r>
  </si>
  <si>
    <r>
      <t xml:space="preserve">Výložník 1-1500/+5°
</t>
    </r>
    <r>
      <rPr>
        <b/>
        <i/>
        <sz val="12"/>
        <rFont val="Times New Roman"/>
        <family val="1"/>
        <charset val="238"/>
      </rPr>
      <t xml:space="preserve">Přesná konfigurace výložníků pro přechodová svítidla viz. příloha TZ!! </t>
    </r>
  </si>
  <si>
    <r>
      <t xml:space="preserve">výložník V1- dle TZ
</t>
    </r>
    <r>
      <rPr>
        <i/>
        <sz val="12"/>
        <rFont val="Times New Roman"/>
        <family val="1"/>
        <charset val="238"/>
      </rPr>
      <t xml:space="preserve">Přídavný výložník na sloup VO (BM10-12) pro přechod. </t>
    </r>
    <r>
      <rPr>
        <b/>
        <i/>
        <sz val="12"/>
        <rFont val="Times New Roman"/>
        <family val="1"/>
        <charset val="238"/>
      </rPr>
      <t>Přesná specifikace fiz. TZ + příloha TZ.</t>
    </r>
  </si>
  <si>
    <r>
      <t xml:space="preserve">Výložník 1-1500/+5°
</t>
    </r>
    <r>
      <rPr>
        <i/>
        <sz val="12"/>
        <rFont val="Times New Roman"/>
        <family val="1"/>
        <charset val="238"/>
      </rPr>
      <t>viz. TZ + Situace. Výložník pro svítidlo silníční - VO(3m) -</t>
    </r>
    <r>
      <rPr>
        <b/>
        <i/>
        <sz val="12"/>
        <rFont val="Times New Roman"/>
        <family val="1"/>
        <charset val="238"/>
      </rPr>
      <t xml:space="preserve"> dle stávajícího stavu! </t>
    </r>
  </si>
  <si>
    <r>
      <t xml:space="preserve">Příslušenství přírubového základu VO, základ pro sloup BMP6-7
</t>
    </r>
    <r>
      <rPr>
        <i/>
        <sz val="12"/>
        <rFont val="Times New Roman"/>
        <family val="1"/>
        <charset val="238"/>
      </rPr>
      <t>viz. výkresová část - včetně přírubového základu. -Přesný rozměr přírubového základu dle spec. konkrétního výrobce.</t>
    </r>
  </si>
  <si>
    <r>
      <t xml:space="preserve">stožár/sloup osvětlovací </t>
    </r>
    <r>
      <rPr>
        <b/>
        <sz val="12"/>
        <rFont val="Times New Roman"/>
        <family val="1"/>
        <charset val="238"/>
      </rPr>
      <t>BMP</t>
    </r>
    <r>
      <rPr>
        <sz val="12"/>
        <rFont val="Times New Roman"/>
        <family val="1"/>
        <charset val="238"/>
      </rPr>
      <t xml:space="preserve"> 6-7 pozinkovaný- uliční
</t>
    </r>
    <r>
      <rPr>
        <i/>
        <sz val="12"/>
        <rFont val="Times New Roman"/>
        <family val="1"/>
        <charset val="238"/>
      </rPr>
      <t xml:space="preserve">viz. výkresová část + TZ - stožáry pro nasvětlení Přechodů pro chodce. Provedení pro montáž s popuzdrovým základem, nebo s přírubovým základem. Sloup  v provedení:bezpaticový silniční s manžetou, </t>
    </r>
    <r>
      <rPr>
        <b/>
        <i/>
        <sz val="12"/>
        <rFont val="Times New Roman"/>
        <family val="1"/>
        <charset val="238"/>
      </rPr>
      <t>zesílený</t>
    </r>
    <r>
      <rPr>
        <i/>
        <sz val="12"/>
        <rFont val="Times New Roman"/>
        <family val="1"/>
        <charset val="238"/>
      </rPr>
      <t xml:space="preserve"> pro montáž výložník.</t>
    </r>
  </si>
  <si>
    <t>B.001</t>
  </si>
  <si>
    <t>B.002</t>
  </si>
  <si>
    <t>B.004</t>
  </si>
  <si>
    <t>B.006</t>
  </si>
  <si>
    <t>B.009</t>
  </si>
  <si>
    <t>B.010</t>
  </si>
  <si>
    <t>B.013</t>
  </si>
  <si>
    <t>B.014</t>
  </si>
  <si>
    <r>
      <t xml:space="preserve">Hloubení nezapažených jam pro stožáry jednoduché délky do 8 m na rovině ručně v hornině tř 3
</t>
    </r>
    <r>
      <rPr>
        <i/>
        <sz val="12"/>
        <rFont val="Times New Roman"/>
        <family val="1"/>
        <charset val="238"/>
      </rPr>
      <t xml:space="preserve">"Hloubení nezapažených jam ručně pro stožáry </t>
    </r>
    <r>
      <rPr>
        <i/>
        <sz val="11"/>
        <rFont val="Times New Roman"/>
        <family val="1"/>
        <charset val="238"/>
      </rPr>
      <t>S POUZDROVÝM, NEBO PŘÍRUBOVÝM ZÁKLADEM</t>
    </r>
    <r>
      <rPr>
        <i/>
        <sz val="12"/>
        <rFont val="Times New Roman"/>
        <family val="1"/>
        <charset val="238"/>
      </rPr>
      <t xml:space="preserve"> s přemístěním výkopku do vzdálenosti 3 m od okraje jámy nebo naložením na dopravní prostředek, včetně zásypu, zhutnění a urovnání povrchu bez patky jednoduché na rovině, délky přes 4 do 8 m, v hornině třídy 3, viz v.č.2</t>
    </r>
  </si>
  <si>
    <r>
      <t xml:space="preserve">Hloubení kabelových nezapažených rýh ručně š 40 cm, hl 80 cm, v hornině tř 3
</t>
    </r>
    <r>
      <rPr>
        <i/>
        <sz val="12"/>
        <rFont val="Times New Roman"/>
        <family val="1"/>
        <charset val="238"/>
      </rPr>
      <t xml:space="preserve">"viz v.č. 02,včetně posouzení a příplatku za lepivost. 60% zemina 3; </t>
    </r>
  </si>
  <si>
    <r>
      <t xml:space="preserve">Hloubení kabelových nezapažených rýh ručně š 40 cm, hl 80 cm, v hornině tř 4
</t>
    </r>
    <r>
      <rPr>
        <i/>
        <sz val="12"/>
        <rFont val="Times New Roman"/>
        <family val="1"/>
        <charset val="238"/>
      </rPr>
      <t xml:space="preserve">"viz v.č. 02,včetně posouzení a příplatku za lepivost. 40% zemina 3; </t>
    </r>
  </si>
  <si>
    <r>
      <t xml:space="preserve">Řízený zemní protlak hloubky do 6 m vnějšího průměru do 110 mm v hornině tř 1 až 4
</t>
    </r>
    <r>
      <rPr>
        <i/>
        <sz val="12"/>
        <rFont val="Times New Roman"/>
        <family val="1"/>
        <charset val="238"/>
      </rPr>
      <t>protlaky pod komunikacemi a pod kořenovým systémem, včetně zápichových jam a pomocné mechanizace a chrániček. Vždy 2xprotlak pro smyčku VO + 1x rezerva (viz. vzor. Řezy)</t>
    </r>
  </si>
  <si>
    <t>A.034</t>
  </si>
  <si>
    <r>
      <t xml:space="preserve">Rozebrání a obnova chodníkové dlažby
</t>
    </r>
    <r>
      <rPr>
        <i/>
        <sz val="12"/>
        <rFont val="Times New Roman"/>
        <family val="1"/>
        <charset val="238"/>
      </rPr>
      <t>rozebrání a obnova nad i mimo výkop, položka obsahuje i potřebný rozsah rekonstrukce obrub a veškeré dotčené konstrukční vrstvy</t>
    </r>
  </si>
  <si>
    <t>E.010</t>
  </si>
  <si>
    <t>xMEe4</t>
  </si>
  <si>
    <t>kmpl</t>
  </si>
  <si>
    <t>E.009</t>
  </si>
  <si>
    <t>xMEe3</t>
  </si>
  <si>
    <r>
      <t xml:space="preserve">Úpravy stálého dopravního značení
</t>
    </r>
    <r>
      <rPr>
        <i/>
        <sz val="12"/>
        <rFont val="Times New Roman"/>
        <family val="1"/>
        <charset val="238"/>
      </rPr>
      <t>přesunutí kolizního dopravního značení na sloupy VO</t>
    </r>
  </si>
  <si>
    <t>xMEe5</t>
  </si>
  <si>
    <t>E.011</t>
  </si>
  <si>
    <r>
      <t xml:space="preserve">Ochrana dřevin, zejména významných krajinných prvků
</t>
    </r>
    <r>
      <rPr>
        <i/>
        <sz val="12"/>
        <rFont val="Times New Roman"/>
        <family val="1"/>
        <charset val="238"/>
      </rPr>
      <t xml:space="preserve"> zabezpečení před poškozením po celou dobu stavby, rozsah odhadnut na základě zaměření dřevin</t>
    </r>
  </si>
  <si>
    <t>xMEe6</t>
  </si>
  <si>
    <r>
      <t xml:space="preserve">Nátěr / berevné provedení sloupů VO včetně výložníku
</t>
    </r>
    <r>
      <rPr>
        <i/>
        <sz val="12"/>
        <rFont val="Times New Roman"/>
        <family val="1"/>
        <charset val="238"/>
      </rPr>
      <t xml:space="preserve"> Nátěr sloupů včetně výložníku viz. TZ - Barva Oranžová - RAL 2004, včetně osazení dotačních tabulí. Kmpl dodávka + montáž.  </t>
    </r>
  </si>
  <si>
    <r>
      <t xml:space="preserve">Zařízení staveniště, provizorní dopravní značení, manipulace 
</t>
    </r>
    <r>
      <rPr>
        <i/>
        <sz val="12"/>
        <rFont val="Times New Roman"/>
        <family val="1"/>
        <charset val="238"/>
      </rPr>
      <t>odhad dle rozsahu stavby cca 5%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</si>
</sst>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,##0.00.\-"/>
  </numFmts>
  <fonts count="30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family val="2"/>
      <charset val="238"/>
    </font>
    <font>
      <b/>
      <i/>
      <sz val="12"/>
      <name val="Times New Roman"/>
      <family val="1"/>
      <charset val="238"/>
    </font>
    <font>
      <i/>
      <sz val="1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" fillId="0" borderId="0"/>
    <xf numFmtId="0" fontId="13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115">
    <xf numFmtId="0" fontId="0" fillId="0" borderId="0" xfId="0"/>
    <xf numFmtId="0" fontId="11" fillId="0" borderId="0" xfId="15" applyFont="1" applyBorder="1"/>
    <xf numFmtId="0" fontId="14" fillId="0" borderId="0" xfId="14" applyFont="1" applyBorder="1"/>
    <xf numFmtId="0" fontId="17" fillId="6" borderId="0" xfId="0" applyFont="1" applyFill="1" applyBorder="1" applyAlignment="1" applyProtection="1">
      <alignment horizontal="left"/>
    </xf>
    <xf numFmtId="0" fontId="18" fillId="6" borderId="0" xfId="0" applyFont="1" applyFill="1" applyBorder="1" applyAlignment="1" applyProtection="1">
      <alignment horizontal="left" vertical="center"/>
    </xf>
    <xf numFmtId="164" fontId="11" fillId="0" borderId="0" xfId="15" applyNumberFormat="1" applyFont="1" applyBorder="1"/>
    <xf numFmtId="165" fontId="11" fillId="0" borderId="0" xfId="15" applyNumberFormat="1" applyFont="1" applyBorder="1" applyAlignment="1">
      <alignment horizontal="center"/>
    </xf>
    <xf numFmtId="0" fontId="11" fillId="0" borderId="3" xfId="15" applyFont="1" applyBorder="1" applyAlignment="1">
      <alignment horizontal="left" vertical="top" wrapText="1"/>
    </xf>
    <xf numFmtId="0" fontId="14" fillId="0" borderId="3" xfId="14" applyFont="1" applyBorder="1" applyAlignment="1">
      <alignment horizontal="center" vertical="center"/>
    </xf>
    <xf numFmtId="0" fontId="11" fillId="4" borderId="8" xfId="13" applyFont="1" applyFill="1" applyBorder="1" applyAlignment="1">
      <alignment horizontal="center" vertical="center" wrapText="1"/>
    </xf>
    <xf numFmtId="0" fontId="11" fillId="4" borderId="9" xfId="13" applyFont="1" applyFill="1" applyBorder="1" applyAlignment="1">
      <alignment horizontal="center" vertical="center" wrapText="1"/>
    </xf>
    <xf numFmtId="0" fontId="11" fillId="5" borderId="9" xfId="13" applyFont="1" applyFill="1" applyBorder="1" applyAlignment="1">
      <alignment horizontal="center" vertical="center" wrapText="1"/>
    </xf>
    <xf numFmtId="165" fontId="11" fillId="5" borderId="9" xfId="13" applyNumberFormat="1" applyFont="1" applyFill="1" applyBorder="1" applyAlignment="1">
      <alignment horizontal="center" vertical="center" wrapText="1"/>
    </xf>
    <xf numFmtId="164" fontId="11" fillId="5" borderId="9" xfId="13" applyNumberFormat="1" applyFont="1" applyFill="1" applyBorder="1" applyAlignment="1">
      <alignment horizontal="center" vertical="center" wrapText="1"/>
    </xf>
    <xf numFmtId="165" fontId="11" fillId="4" borderId="10" xfId="13" applyNumberFormat="1" applyFont="1" applyFill="1" applyBorder="1" applyAlignment="1">
      <alignment horizontal="center" vertical="center" wrapText="1"/>
    </xf>
    <xf numFmtId="0" fontId="12" fillId="7" borderId="11" xfId="15" applyFont="1" applyFill="1" applyBorder="1" applyAlignment="1">
      <alignment horizontal="center" vertical="top" wrapText="1"/>
    </xf>
    <xf numFmtId="0" fontId="19" fillId="7" borderId="12" xfId="14" applyFont="1" applyFill="1" applyBorder="1"/>
    <xf numFmtId="0" fontId="12" fillId="7" borderId="12" xfId="15" applyFont="1" applyFill="1" applyBorder="1" applyAlignment="1">
      <alignment horizontal="left" vertical="top" wrapText="1"/>
    </xf>
    <xf numFmtId="164" fontId="12" fillId="7" borderId="12" xfId="14" applyNumberFormat="1" applyFont="1" applyFill="1" applyBorder="1"/>
    <xf numFmtId="165" fontId="19" fillId="7" borderId="13" xfId="12" applyNumberFormat="1" applyFont="1" applyFill="1" applyBorder="1" applyAlignment="1">
      <alignment horizontal="right" vertical="center"/>
    </xf>
    <xf numFmtId="0" fontId="11" fillId="0" borderId="6" xfId="15" applyFont="1" applyBorder="1" applyAlignment="1">
      <alignment horizontal="left" vertical="top" wrapText="1"/>
    </xf>
    <xf numFmtId="0" fontId="14" fillId="0" borderId="6" xfId="14" applyFont="1" applyBorder="1" applyAlignment="1">
      <alignment horizontal="center" vertical="center"/>
    </xf>
    <xf numFmtId="0" fontId="11" fillId="5" borderId="9" xfId="13" applyFont="1" applyFill="1" applyBorder="1" applyAlignment="1">
      <alignment horizontal="center" vertical="center"/>
    </xf>
    <xf numFmtId="49" fontId="11" fillId="0" borderId="2" xfId="15" applyNumberFormat="1" applyFont="1" applyBorder="1" applyAlignment="1">
      <alignment horizontal="center" vertical="center" wrapText="1"/>
    </xf>
    <xf numFmtId="49" fontId="11" fillId="0" borderId="3" xfId="15" applyNumberFormat="1" applyFont="1" applyBorder="1" applyAlignment="1">
      <alignment horizontal="center" vertical="center" wrapText="1"/>
    </xf>
    <xf numFmtId="49" fontId="11" fillId="0" borderId="5" xfId="15" applyNumberFormat="1" applyFont="1" applyBorder="1" applyAlignment="1">
      <alignment horizontal="center" vertical="center" wrapText="1"/>
    </xf>
    <xf numFmtId="49" fontId="11" fillId="0" borderId="6" xfId="15" applyNumberFormat="1" applyFont="1" applyBorder="1" applyAlignment="1">
      <alignment horizontal="center" vertical="center" wrapText="1"/>
    </xf>
    <xf numFmtId="165" fontId="14" fillId="0" borderId="3" xfId="12" applyNumberFormat="1" applyFont="1" applyBorder="1" applyAlignment="1">
      <alignment vertical="center"/>
    </xf>
    <xf numFmtId="3" fontId="11" fillId="0" borderId="3" xfId="14" applyNumberFormat="1" applyFont="1" applyBorder="1" applyAlignment="1">
      <alignment vertical="center"/>
    </xf>
    <xf numFmtId="165" fontId="14" fillId="0" borderId="4" xfId="12" applyNumberFormat="1" applyFont="1" applyBorder="1" applyAlignment="1">
      <alignment vertical="center"/>
    </xf>
    <xf numFmtId="165" fontId="14" fillId="0" borderId="6" xfId="12" applyNumberFormat="1" applyFont="1" applyBorder="1" applyAlignment="1">
      <alignment vertical="center"/>
    </xf>
    <xf numFmtId="3" fontId="11" fillId="0" borderId="6" xfId="14" applyNumberFormat="1" applyFont="1" applyBorder="1" applyAlignment="1">
      <alignment vertical="center"/>
    </xf>
    <xf numFmtId="165" fontId="14" fillId="0" borderId="7" xfId="12" applyNumberFormat="1" applyFont="1" applyBorder="1" applyAlignment="1">
      <alignment vertical="center"/>
    </xf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17" xfId="0" applyBorder="1"/>
    <xf numFmtId="0" fontId="24" fillId="0" borderId="17" xfId="0" applyFont="1" applyBorder="1"/>
    <xf numFmtId="0" fontId="27" fillId="6" borderId="0" xfId="0" applyFont="1" applyFill="1" applyBorder="1" applyAlignment="1" applyProtection="1">
      <alignment horizontal="left"/>
    </xf>
    <xf numFmtId="0" fontId="17" fillId="6" borderId="18" xfId="0" applyFont="1" applyFill="1" applyBorder="1" applyAlignment="1" applyProtection="1">
      <alignment horizontal="left"/>
    </xf>
    <xf numFmtId="5" fontId="20" fillId="0" borderId="18" xfId="0" applyNumberFormat="1" applyFont="1" applyBorder="1" applyAlignment="1" applyProtection="1">
      <alignment horizontal="right" vertical="center"/>
    </xf>
    <xf numFmtId="5" fontId="26" fillId="0" borderId="18" xfId="0" applyNumberFormat="1" applyFont="1" applyBorder="1" applyAlignment="1" applyProtection="1">
      <alignment horizontal="right" vertical="center"/>
    </xf>
    <xf numFmtId="0" fontId="21" fillId="6" borderId="0" xfId="0" applyFont="1" applyFill="1" applyBorder="1" applyAlignment="1" applyProtection="1">
      <alignment horizontal="left"/>
    </xf>
    <xf numFmtId="0" fontId="21" fillId="6" borderId="18" xfId="0" applyFont="1" applyFill="1" applyBorder="1" applyAlignment="1" applyProtection="1">
      <alignment horizontal="left"/>
    </xf>
    <xf numFmtId="0" fontId="21" fillId="6" borderId="18" xfId="0" applyFont="1" applyFill="1" applyBorder="1" applyAlignment="1" applyProtection="1">
      <alignment horizontal="left" vertical="center"/>
    </xf>
    <xf numFmtId="0" fontId="21" fillId="6" borderId="18" xfId="0" applyFont="1" applyFill="1" applyBorder="1" applyAlignment="1" applyProtection="1">
      <alignment horizontal="center" vertical="center"/>
    </xf>
    <xf numFmtId="0" fontId="21" fillId="6" borderId="17" xfId="0" applyFont="1" applyFill="1" applyBorder="1" applyAlignment="1" applyProtection="1">
      <alignment horizontal="left" vertical="center"/>
    </xf>
    <xf numFmtId="0" fontId="21" fillId="6" borderId="21" xfId="0" applyFont="1" applyFill="1" applyBorder="1" applyAlignment="1" applyProtection="1">
      <alignment horizontal="right"/>
    </xf>
    <xf numFmtId="0" fontId="21" fillId="6" borderId="19" xfId="0" applyFont="1" applyFill="1" applyBorder="1" applyAlignment="1" applyProtection="1">
      <alignment horizontal="left"/>
    </xf>
    <xf numFmtId="0" fontId="21" fillId="6" borderId="14" xfId="0" applyFont="1" applyFill="1" applyBorder="1" applyAlignment="1" applyProtection="1">
      <alignment horizontal="left" vertical="center"/>
    </xf>
    <xf numFmtId="0" fontId="21" fillId="6" borderId="20" xfId="0" applyFont="1" applyFill="1" applyBorder="1" applyAlignment="1" applyProtection="1">
      <alignment horizontal="left" vertical="center"/>
    </xf>
    <xf numFmtId="0" fontId="0" fillId="0" borderId="22" xfId="0" applyFont="1" applyBorder="1"/>
    <xf numFmtId="0" fontId="25" fillId="0" borderId="23" xfId="0" applyFont="1" applyBorder="1" applyAlignment="1" applyProtection="1">
      <alignment horizontal="left" vertical="center"/>
    </xf>
    <xf numFmtId="0" fontId="22" fillId="0" borderId="23" xfId="0" applyFont="1" applyBorder="1" applyAlignment="1" applyProtection="1">
      <alignment horizontal="left" vertical="center"/>
    </xf>
    <xf numFmtId="5" fontId="22" fillId="0" borderId="24" xfId="0" applyNumberFormat="1" applyFont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49" fontId="7" fillId="6" borderId="0" xfId="0" applyNumberFormat="1" applyFont="1" applyFill="1" applyBorder="1" applyAlignment="1" applyProtection="1">
      <alignment horizontal="left" vertical="center"/>
    </xf>
    <xf numFmtId="49" fontId="11" fillId="0" borderId="26" xfId="15" applyNumberFormat="1" applyFont="1" applyBorder="1" applyAlignment="1">
      <alignment horizontal="center" vertical="center" wrapText="1"/>
    </xf>
    <xf numFmtId="49" fontId="11" fillId="0" borderId="27" xfId="15" applyNumberFormat="1" applyFont="1" applyBorder="1" applyAlignment="1">
      <alignment horizontal="center" vertical="center" wrapText="1"/>
    </xf>
    <xf numFmtId="0" fontId="14" fillId="0" borderId="27" xfId="14" applyFont="1" applyBorder="1" applyAlignment="1">
      <alignment horizontal="center" vertical="center"/>
    </xf>
    <xf numFmtId="165" fontId="14" fillId="0" borderId="27" xfId="12" applyNumberFormat="1" applyFont="1" applyBorder="1" applyAlignment="1">
      <alignment vertical="center"/>
    </xf>
    <xf numFmtId="3" fontId="11" fillId="0" borderId="27" xfId="14" applyNumberFormat="1" applyFont="1" applyBorder="1" applyAlignment="1">
      <alignment vertical="center"/>
    </xf>
    <xf numFmtId="165" fontId="14" fillId="0" borderId="28" xfId="12" applyNumberFormat="1" applyFont="1" applyBorder="1" applyAlignment="1">
      <alignment vertical="center"/>
    </xf>
    <xf numFmtId="0" fontId="12" fillId="7" borderId="29" xfId="15" applyFont="1" applyFill="1" applyBorder="1" applyAlignment="1">
      <alignment horizontal="center" vertical="top" wrapText="1"/>
    </xf>
    <xf numFmtId="0" fontId="19" fillId="7" borderId="25" xfId="14" applyFont="1" applyFill="1" applyBorder="1"/>
    <xf numFmtId="164" fontId="12" fillId="7" borderId="25" xfId="14" applyNumberFormat="1" applyFont="1" applyFill="1" applyBorder="1"/>
    <xf numFmtId="165" fontId="19" fillId="7" borderId="31" xfId="12" applyNumberFormat="1" applyFont="1" applyFill="1" applyBorder="1" applyAlignment="1">
      <alignment horizontal="right" vertical="center"/>
    </xf>
    <xf numFmtId="164" fontId="12" fillId="7" borderId="30" xfId="14" applyNumberFormat="1" applyFont="1" applyFill="1" applyBorder="1" applyAlignment="1"/>
    <xf numFmtId="2" fontId="14" fillId="0" borderId="3" xfId="12" applyNumberFormat="1" applyFont="1" applyBorder="1" applyAlignment="1">
      <alignment vertical="center"/>
    </xf>
    <xf numFmtId="49" fontId="11" fillId="0" borderId="2" xfId="15" applyNumberFormat="1" applyFont="1" applyFill="1" applyBorder="1" applyAlignment="1">
      <alignment horizontal="center" vertical="center" wrapText="1"/>
    </xf>
    <xf numFmtId="49" fontId="11" fillId="0" borderId="3" xfId="15" applyNumberFormat="1" applyFont="1" applyFill="1" applyBorder="1" applyAlignment="1">
      <alignment horizontal="center" vertical="center" wrapText="1"/>
    </xf>
    <xf numFmtId="0" fontId="11" fillId="0" borderId="3" xfId="15" applyFont="1" applyFill="1" applyBorder="1" applyAlignment="1">
      <alignment horizontal="left" vertical="top" wrapText="1"/>
    </xf>
    <xf numFmtId="0" fontId="14" fillId="0" borderId="3" xfId="14" applyFont="1" applyFill="1" applyBorder="1" applyAlignment="1">
      <alignment horizontal="center" vertical="center"/>
    </xf>
    <xf numFmtId="2" fontId="14" fillId="0" borderId="3" xfId="12" applyNumberFormat="1" applyFont="1" applyFill="1" applyBorder="1" applyAlignment="1">
      <alignment vertical="center"/>
    </xf>
    <xf numFmtId="4" fontId="11" fillId="0" borderId="3" xfId="14" applyNumberFormat="1" applyFont="1" applyFill="1" applyBorder="1" applyAlignment="1">
      <alignment horizontal="right" vertical="center"/>
    </xf>
    <xf numFmtId="165" fontId="14" fillId="0" borderId="4" xfId="12" applyNumberFormat="1" applyFont="1" applyFill="1" applyBorder="1" applyAlignment="1">
      <alignment vertical="center"/>
    </xf>
    <xf numFmtId="0" fontId="14" fillId="0" borderId="0" xfId="14" applyFont="1" applyFill="1" applyBorder="1"/>
    <xf numFmtId="49" fontId="11" fillId="0" borderId="26" xfId="15" applyNumberFormat="1" applyFont="1" applyFill="1" applyBorder="1" applyAlignment="1">
      <alignment horizontal="center" vertical="center" wrapText="1"/>
    </xf>
    <xf numFmtId="165" fontId="14" fillId="0" borderId="3" xfId="12" applyNumberFormat="1" applyFont="1" applyFill="1" applyBorder="1" applyAlignment="1">
      <alignment vertical="center"/>
    </xf>
    <xf numFmtId="0" fontId="11" fillId="0" borderId="32" xfId="15" applyFont="1" applyFill="1" applyBorder="1" applyAlignment="1">
      <alignment horizontal="left" vertical="top" wrapText="1"/>
    </xf>
    <xf numFmtId="49" fontId="11" fillId="0" borderId="33" xfId="15" applyNumberFormat="1" applyFont="1" applyFill="1" applyBorder="1" applyAlignment="1">
      <alignment horizontal="center" vertical="center" wrapText="1"/>
    </xf>
    <xf numFmtId="49" fontId="11" fillId="0" borderId="32" xfId="15" applyNumberFormat="1" applyFont="1" applyFill="1" applyBorder="1" applyAlignment="1">
      <alignment horizontal="center" vertical="center" wrapText="1"/>
    </xf>
    <xf numFmtId="0" fontId="14" fillId="0" borderId="32" xfId="14" applyFont="1" applyFill="1" applyBorder="1" applyAlignment="1">
      <alignment horizontal="center" vertical="center"/>
    </xf>
    <xf numFmtId="165" fontId="14" fillId="0" borderId="32" xfId="12" applyNumberFormat="1" applyFont="1" applyFill="1" applyBorder="1" applyAlignment="1">
      <alignment vertical="center"/>
    </xf>
    <xf numFmtId="4" fontId="11" fillId="0" borderId="32" xfId="14" applyNumberFormat="1" applyFont="1" applyFill="1" applyBorder="1" applyAlignment="1">
      <alignment horizontal="right" vertical="center"/>
    </xf>
    <xf numFmtId="165" fontId="14" fillId="0" borderId="34" xfId="12" applyNumberFormat="1" applyFont="1" applyFill="1" applyBorder="1" applyAlignment="1">
      <alignment vertical="center"/>
    </xf>
    <xf numFmtId="49" fontId="11" fillId="0" borderId="5" xfId="15" applyNumberFormat="1" applyFont="1" applyFill="1" applyBorder="1" applyAlignment="1">
      <alignment horizontal="center" vertical="center" wrapText="1"/>
    </xf>
    <xf numFmtId="49" fontId="11" fillId="0" borderId="6" xfId="15" applyNumberFormat="1" applyFont="1" applyFill="1" applyBorder="1" applyAlignment="1">
      <alignment horizontal="center" vertical="center" wrapText="1"/>
    </xf>
    <xf numFmtId="0" fontId="11" fillId="0" borderId="6" xfId="15" applyFont="1" applyFill="1" applyBorder="1" applyAlignment="1">
      <alignment horizontal="left" vertical="top" wrapText="1"/>
    </xf>
    <xf numFmtId="0" fontId="14" fillId="0" borderId="6" xfId="14" applyFont="1" applyFill="1" applyBorder="1" applyAlignment="1">
      <alignment horizontal="center" vertical="center"/>
    </xf>
    <xf numFmtId="165" fontId="14" fillId="0" borderId="6" xfId="12" applyNumberFormat="1" applyFont="1" applyFill="1" applyBorder="1" applyAlignment="1">
      <alignment vertical="center"/>
    </xf>
    <xf numFmtId="3" fontId="11" fillId="0" borderId="6" xfId="14" applyNumberFormat="1" applyFont="1" applyFill="1" applyBorder="1" applyAlignment="1">
      <alignment vertical="center"/>
    </xf>
    <xf numFmtId="165" fontId="14" fillId="0" borderId="7" xfId="12" applyNumberFormat="1" applyFont="1" applyFill="1" applyBorder="1" applyAlignment="1">
      <alignment vertical="center"/>
    </xf>
    <xf numFmtId="0" fontId="11" fillId="0" borderId="0" xfId="15" applyFont="1" applyFill="1" applyBorder="1"/>
    <xf numFmtId="165" fontId="11" fillId="0" borderId="0" xfId="15" applyNumberFormat="1" applyFont="1" applyFill="1" applyBorder="1" applyAlignment="1">
      <alignment horizontal="center"/>
    </xf>
    <xf numFmtId="164" fontId="11" fillId="0" borderId="0" xfId="15" applyNumberFormat="1" applyFont="1" applyFill="1" applyBorder="1"/>
    <xf numFmtId="49" fontId="11" fillId="0" borderId="27" xfId="15" applyNumberFormat="1" applyFont="1" applyFill="1" applyBorder="1" applyAlignment="1">
      <alignment horizontal="center" vertical="center" wrapText="1"/>
    </xf>
    <xf numFmtId="0" fontId="11" fillId="0" borderId="27" xfId="15" applyFont="1" applyFill="1" applyBorder="1" applyAlignment="1">
      <alignment horizontal="left" vertical="top" wrapText="1"/>
    </xf>
    <xf numFmtId="0" fontId="14" fillId="0" borderId="27" xfId="14" applyFont="1" applyFill="1" applyBorder="1" applyAlignment="1">
      <alignment horizontal="center" vertical="center"/>
    </xf>
    <xf numFmtId="165" fontId="14" fillId="0" borderId="28" xfId="12" applyNumberFormat="1" applyFont="1" applyFill="1" applyBorder="1" applyAlignment="1">
      <alignment vertical="center"/>
    </xf>
    <xf numFmtId="3" fontId="11" fillId="0" borderId="3" xfId="14" applyNumberFormat="1" applyFont="1" applyFill="1" applyBorder="1" applyAlignment="1">
      <alignment vertical="center"/>
    </xf>
    <xf numFmtId="3" fontId="11" fillId="0" borderId="27" xfId="14" applyNumberFormat="1" applyFont="1" applyFill="1" applyBorder="1" applyAlignment="1">
      <alignment vertical="center"/>
    </xf>
    <xf numFmtId="0" fontId="27" fillId="6" borderId="15" xfId="0" applyFont="1" applyFill="1" applyBorder="1" applyAlignment="1" applyProtection="1">
      <alignment horizontal="center"/>
    </xf>
    <xf numFmtId="0" fontId="27" fillId="6" borderId="16" xfId="0" applyFont="1" applyFill="1" applyBorder="1" applyAlignment="1" applyProtection="1">
      <alignment horizontal="center"/>
    </xf>
    <xf numFmtId="0" fontId="27" fillId="6" borderId="17" xfId="0" applyFont="1" applyFill="1" applyBorder="1" applyAlignment="1" applyProtection="1">
      <alignment horizontal="center"/>
    </xf>
    <xf numFmtId="0" fontId="27" fillId="6" borderId="0" xfId="0" applyFont="1" applyFill="1" applyBorder="1" applyAlignment="1" applyProtection="1">
      <alignment horizontal="center"/>
    </xf>
    <xf numFmtId="0" fontId="27" fillId="6" borderId="18" xfId="0" applyFont="1" applyFill="1" applyBorder="1" applyAlignment="1" applyProtection="1">
      <alignment horizontal="center"/>
    </xf>
    <xf numFmtId="0" fontId="0" fillId="0" borderId="0" xfId="0" applyAlignment="1">
      <alignment horizontal="left" vertical="top" wrapText="1"/>
    </xf>
    <xf numFmtId="2" fontId="14" fillId="8" borderId="3" xfId="12" applyNumberFormat="1" applyFont="1" applyFill="1" applyBorder="1" applyAlignment="1">
      <alignment vertical="center"/>
    </xf>
    <xf numFmtId="165" fontId="14" fillId="8" borderId="3" xfId="12" applyNumberFormat="1" applyFont="1" applyFill="1" applyBorder="1" applyAlignment="1">
      <alignment vertical="center"/>
    </xf>
    <xf numFmtId="165" fontId="14" fillId="8" borderId="32" xfId="12" applyNumberFormat="1" applyFont="1" applyFill="1" applyBorder="1" applyAlignment="1">
      <alignment vertical="center"/>
    </xf>
    <xf numFmtId="2" fontId="14" fillId="8" borderId="27" xfId="12" applyNumberFormat="1" applyFont="1" applyFill="1" applyBorder="1" applyAlignment="1">
      <alignment vertical="center"/>
    </xf>
    <xf numFmtId="170" fontId="14" fillId="8" borderId="27" xfId="12" applyNumberFormat="1" applyFont="1" applyFill="1" applyBorder="1" applyAlignment="1">
      <alignment vertical="center"/>
    </xf>
  </cellXfs>
  <cellStyles count="26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-SERVER\P&#345;esm&#283;rov&#225;n&#237;%20slo&#382;ky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Normal="100" workbookViewId="0">
      <selection activeCell="B29" sqref="B29:D32"/>
    </sheetView>
  </sheetViews>
  <sheetFormatPr defaultRowHeight="15.75" x14ac:dyDescent="0.25"/>
  <cols>
    <col min="1" max="1" width="2.25" customWidth="1"/>
    <col min="2" max="2" width="10.25" customWidth="1"/>
    <col min="3" max="3" width="44.5" customWidth="1"/>
    <col min="4" max="4" width="14.875" customWidth="1"/>
  </cols>
  <sheetData>
    <row r="1" spans="1:4" ht="18" x14ac:dyDescent="0.25">
      <c r="A1" s="51"/>
      <c r="B1" s="104"/>
      <c r="C1" s="104"/>
      <c r="D1" s="105"/>
    </row>
    <row r="2" spans="1:4" ht="18" x14ac:dyDescent="0.25">
      <c r="A2" s="106" t="s">
        <v>4</v>
      </c>
      <c r="B2" s="107"/>
      <c r="C2" s="107"/>
      <c r="D2" s="108"/>
    </row>
    <row r="3" spans="1:4" ht="18" x14ac:dyDescent="0.25">
      <c r="A3" s="48"/>
      <c r="B3" s="40"/>
      <c r="C3" s="3"/>
      <c r="D3" s="41"/>
    </row>
    <row r="4" spans="1:4" x14ac:dyDescent="0.25">
      <c r="A4" s="48"/>
      <c r="B4" s="57" t="s">
        <v>5</v>
      </c>
      <c r="C4" s="57" t="s">
        <v>190</v>
      </c>
      <c r="D4" s="46"/>
    </row>
    <row r="5" spans="1:4" x14ac:dyDescent="0.25">
      <c r="A5" s="48"/>
      <c r="B5" s="57" t="s">
        <v>6</v>
      </c>
      <c r="C5" s="57"/>
      <c r="D5" s="47"/>
    </row>
    <row r="6" spans="1:4" x14ac:dyDescent="0.25">
      <c r="A6" s="48"/>
      <c r="B6" s="57" t="s">
        <v>7</v>
      </c>
      <c r="C6" s="4"/>
      <c r="D6" s="47"/>
    </row>
    <row r="7" spans="1:4" x14ac:dyDescent="0.25">
      <c r="A7" s="48"/>
      <c r="B7" s="57"/>
      <c r="C7" s="57"/>
      <c r="D7" s="47"/>
    </row>
    <row r="8" spans="1:4" x14ac:dyDescent="0.25">
      <c r="A8" s="48"/>
      <c r="B8" s="57"/>
      <c r="C8" s="57" t="s">
        <v>37</v>
      </c>
      <c r="D8" s="47"/>
    </row>
    <row r="9" spans="1:4" x14ac:dyDescent="0.25">
      <c r="A9" s="48"/>
      <c r="B9" s="57"/>
      <c r="C9" s="57"/>
      <c r="D9" s="47"/>
    </row>
    <row r="10" spans="1:4" x14ac:dyDescent="0.25">
      <c r="A10" s="48"/>
      <c r="B10" s="57" t="s">
        <v>8</v>
      </c>
      <c r="C10" s="57" t="s">
        <v>191</v>
      </c>
      <c r="D10" s="47"/>
    </row>
    <row r="11" spans="1:4" x14ac:dyDescent="0.25">
      <c r="A11" s="48"/>
      <c r="B11" s="57" t="s">
        <v>9</v>
      </c>
      <c r="C11" s="57" t="s">
        <v>192</v>
      </c>
      <c r="D11" s="47"/>
    </row>
    <row r="12" spans="1:4" x14ac:dyDescent="0.25">
      <c r="A12" s="48"/>
      <c r="B12" s="57" t="s">
        <v>10</v>
      </c>
      <c r="C12" s="58" t="s">
        <v>193</v>
      </c>
      <c r="D12" s="47"/>
    </row>
    <row r="13" spans="1:4" x14ac:dyDescent="0.25">
      <c r="A13" s="48"/>
      <c r="B13" s="4"/>
      <c r="C13" s="4"/>
      <c r="D13" s="47"/>
    </row>
    <row r="14" spans="1:4" x14ac:dyDescent="0.25">
      <c r="A14" s="48"/>
      <c r="B14" s="44"/>
      <c r="C14" s="44"/>
      <c r="D14" s="45"/>
    </row>
    <row r="15" spans="1:4" x14ac:dyDescent="0.25">
      <c r="A15" s="52"/>
      <c r="B15" s="50" t="s">
        <v>11</v>
      </c>
      <c r="C15" s="50" t="s">
        <v>12</v>
      </c>
      <c r="D15" s="49" t="s">
        <v>13</v>
      </c>
    </row>
    <row r="16" spans="1:4" s="33" customFormat="1" ht="12.75" x14ac:dyDescent="0.2">
      <c r="A16" s="39"/>
      <c r="B16" s="37" t="str">
        <f>'1'!A2</f>
        <v>A</v>
      </c>
      <c r="C16" s="37" t="str">
        <f>'1'!C2</f>
        <v>Zemní práce</v>
      </c>
      <c r="D16" s="42">
        <f>'1'!G3</f>
        <v>0</v>
      </c>
    </row>
    <row r="17" spans="1:4" s="33" customFormat="1" ht="12.75" x14ac:dyDescent="0.2">
      <c r="A17" s="39"/>
      <c r="B17" s="37" t="str">
        <f>'2'!A2</f>
        <v>B</v>
      </c>
      <c r="C17" s="37" t="str">
        <f>'2'!C2</f>
        <v>Silnoproud - montáž</v>
      </c>
      <c r="D17" s="42">
        <f>'2'!G3</f>
        <v>0</v>
      </c>
    </row>
    <row r="18" spans="1:4" s="33" customFormat="1" ht="12.75" x14ac:dyDescent="0.2">
      <c r="A18" s="39"/>
      <c r="B18" s="37" t="str">
        <f>'3'!A2</f>
        <v>C</v>
      </c>
      <c r="C18" s="37" t="str">
        <f>'3'!C2</f>
        <v>Silnoproud - specifikace</v>
      </c>
      <c r="D18" s="42">
        <f>'3'!G3</f>
        <v>0</v>
      </c>
    </row>
    <row r="19" spans="1:4" s="33" customFormat="1" ht="12.75" x14ac:dyDescent="0.2">
      <c r="A19" s="39"/>
      <c r="B19" s="37" t="str">
        <f>'4'!A2</f>
        <v>D</v>
      </c>
      <c r="C19" s="37" t="str">
        <f>'4'!C2</f>
        <v>Nátěry</v>
      </c>
      <c r="D19" s="42">
        <f>'4'!G3</f>
        <v>0</v>
      </c>
    </row>
    <row r="20" spans="1:4" s="33" customFormat="1" ht="12.75" x14ac:dyDescent="0.2">
      <c r="A20" s="39"/>
      <c r="B20" s="37" t="str">
        <f>'5'!A2</f>
        <v>E</v>
      </c>
      <c r="C20" s="37" t="str">
        <f>'5'!C2</f>
        <v>Ostatní</v>
      </c>
      <c r="D20" s="42">
        <f>'5'!G3</f>
        <v>0</v>
      </c>
    </row>
    <row r="21" spans="1:4" s="33" customFormat="1" ht="12.75" x14ac:dyDescent="0.2">
      <c r="A21" s="39"/>
      <c r="B21" s="37"/>
      <c r="C21" s="37"/>
      <c r="D21" s="42"/>
    </row>
    <row r="22" spans="1:4" s="33" customFormat="1" ht="12.75" x14ac:dyDescent="0.2">
      <c r="A22" s="39"/>
      <c r="B22" s="37"/>
      <c r="C22" s="37"/>
      <c r="D22" s="42"/>
    </row>
    <row r="23" spans="1:4" s="33" customFormat="1" ht="12.75" x14ac:dyDescent="0.2">
      <c r="A23" s="39"/>
      <c r="B23" s="37"/>
      <c r="C23" s="37"/>
      <c r="D23" s="42"/>
    </row>
    <row r="24" spans="1:4" s="33" customFormat="1" ht="12.75" x14ac:dyDescent="0.2">
      <c r="A24" s="39"/>
      <c r="B24" s="37"/>
      <c r="C24" s="37"/>
      <c r="D24" s="42"/>
    </row>
    <row r="25" spans="1:4" s="33" customFormat="1" ht="12.75" x14ac:dyDescent="0.2">
      <c r="A25" s="39"/>
      <c r="B25" s="37"/>
      <c r="C25" s="37"/>
      <c r="D25" s="42"/>
    </row>
    <row r="26" spans="1:4" x14ac:dyDescent="0.25">
      <c r="A26" s="38"/>
      <c r="B26" s="35"/>
      <c r="C26" s="36"/>
      <c r="D26" s="43"/>
    </row>
    <row r="27" spans="1:4" s="34" customFormat="1" ht="16.5" thickBot="1" x14ac:dyDescent="0.3">
      <c r="A27" s="53"/>
      <c r="B27" s="54"/>
      <c r="C27" s="55" t="s">
        <v>24</v>
      </c>
      <c r="D27" s="56">
        <f>SUM(D16:D26)</f>
        <v>0</v>
      </c>
    </row>
    <row r="29" spans="1:4" x14ac:dyDescent="0.25">
      <c r="B29" s="109"/>
      <c r="C29" s="109"/>
      <c r="D29" s="109"/>
    </row>
    <row r="30" spans="1:4" x14ac:dyDescent="0.25">
      <c r="B30" s="109"/>
      <c r="C30" s="109"/>
      <c r="D30" s="109"/>
    </row>
    <row r="31" spans="1:4" x14ac:dyDescent="0.25">
      <c r="B31" s="109"/>
      <c r="C31" s="109"/>
      <c r="D31" s="109"/>
    </row>
    <row r="32" spans="1:4" x14ac:dyDescent="0.25">
      <c r="B32" s="109"/>
      <c r="C32" s="109"/>
      <c r="D32" s="109"/>
    </row>
  </sheetData>
  <mergeCells count="3">
    <mergeCell ref="B1:D1"/>
    <mergeCell ref="A2:D2"/>
    <mergeCell ref="B29:D32"/>
  </mergeCells>
  <pageMargins left="0.23622047244094491" right="0.23622047244094491" top="0.74803149606299213" bottom="0.74803149606299213" header="0.31496062992125984" footer="0.31496062992125984"/>
  <pageSetup paperSize="9" scale="125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opLeftCell="B1" zoomScaleNormal="100" workbookViewId="0">
      <pane ySplit="3" topLeftCell="A31" activePane="bottomLeft" state="frozen"/>
      <selection activeCell="D27" sqref="D27"/>
      <selection pane="bottomLeft" activeCell="E5" sqref="E5"/>
    </sheetView>
  </sheetViews>
  <sheetFormatPr defaultRowHeight="15.75" x14ac:dyDescent="0.25"/>
  <cols>
    <col min="1" max="1" width="7.5" style="1" bestFit="1" customWidth="1"/>
    <col min="2" max="2" width="10.62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9.8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14</v>
      </c>
      <c r="B2" s="16"/>
      <c r="C2" s="17" t="s">
        <v>51</v>
      </c>
      <c r="D2" s="18"/>
      <c r="E2" s="18"/>
      <c r="F2" s="18"/>
      <c r="G2" s="19"/>
    </row>
    <row r="3" spans="1:7" s="2" customFormat="1" ht="16.5" thickBot="1" x14ac:dyDescent="0.3">
      <c r="A3" s="65"/>
      <c r="B3" s="66"/>
      <c r="C3" s="69" t="s">
        <v>23</v>
      </c>
      <c r="D3" s="67"/>
      <c r="E3" s="67"/>
      <c r="F3" s="67"/>
      <c r="G3" s="68">
        <f>SUM(G4:G43)</f>
        <v>0</v>
      </c>
    </row>
    <row r="4" spans="1:7" s="78" customFormat="1" ht="32.25" thickTop="1" x14ac:dyDescent="0.25">
      <c r="A4" s="79" t="s">
        <v>25</v>
      </c>
      <c r="B4" s="98" t="s">
        <v>65</v>
      </c>
      <c r="C4" s="99" t="s">
        <v>194</v>
      </c>
      <c r="D4" s="100" t="s">
        <v>52</v>
      </c>
      <c r="E4" s="113"/>
      <c r="F4" s="76">
        <f>1.25*((18+15+14+2+32+13+27+50)/1000)</f>
        <v>0.21375000000000002</v>
      </c>
      <c r="G4" s="101">
        <f t="shared" ref="G4:G36" si="0">F4*E4</f>
        <v>0</v>
      </c>
    </row>
    <row r="5" spans="1:7" s="78" customFormat="1" ht="31.5" x14ac:dyDescent="0.25">
      <c r="A5" s="71" t="s">
        <v>26</v>
      </c>
      <c r="B5" s="72" t="s">
        <v>66</v>
      </c>
      <c r="C5" s="73" t="s">
        <v>248</v>
      </c>
      <c r="D5" s="74" t="s">
        <v>54</v>
      </c>
      <c r="E5" s="110"/>
      <c r="F5" s="76">
        <f>((15+2+15+2+3+25+12)*0.6)*1.2</f>
        <v>53.279999999999994</v>
      </c>
      <c r="G5" s="77">
        <f t="shared" si="0"/>
        <v>0</v>
      </c>
    </row>
    <row r="6" spans="1:7" s="78" customFormat="1" ht="31.5" x14ac:dyDescent="0.25">
      <c r="A6" s="79" t="s">
        <v>27</v>
      </c>
      <c r="B6" s="72" t="s">
        <v>67</v>
      </c>
      <c r="C6" s="73" t="s">
        <v>249</v>
      </c>
      <c r="D6" s="74" t="s">
        <v>54</v>
      </c>
      <c r="E6" s="110"/>
      <c r="F6" s="76">
        <f>((15+2+15+2+3+25+12)*0.4)*1.2</f>
        <v>35.520000000000003</v>
      </c>
      <c r="G6" s="77">
        <f t="shared" si="0"/>
        <v>0</v>
      </c>
    </row>
    <row r="7" spans="1:7" s="78" customFormat="1" ht="31.5" x14ac:dyDescent="0.25">
      <c r="A7" s="79" t="s">
        <v>28</v>
      </c>
      <c r="B7" s="72" t="s">
        <v>68</v>
      </c>
      <c r="C7" s="73" t="s">
        <v>188</v>
      </c>
      <c r="D7" s="74" t="s">
        <v>54</v>
      </c>
      <c r="E7" s="110"/>
      <c r="F7" s="76">
        <f>((14+17)*0.6)*1.2</f>
        <v>22.319999999999997</v>
      </c>
      <c r="G7" s="77">
        <f t="shared" si="0"/>
        <v>0</v>
      </c>
    </row>
    <row r="8" spans="1:7" s="78" customFormat="1" ht="31.5" x14ac:dyDescent="0.25">
      <c r="A8" s="71" t="s">
        <v>29</v>
      </c>
      <c r="B8" s="72" t="s">
        <v>69</v>
      </c>
      <c r="C8" s="73" t="s">
        <v>189</v>
      </c>
      <c r="D8" s="74" t="s">
        <v>54</v>
      </c>
      <c r="E8" s="110"/>
      <c r="F8" s="76">
        <f>((14+17)*0.4)*1.2</f>
        <v>14.879999999999999</v>
      </c>
      <c r="G8" s="77">
        <f t="shared" si="0"/>
        <v>0</v>
      </c>
    </row>
    <row r="9" spans="1:7" s="78" customFormat="1" ht="31.5" x14ac:dyDescent="0.25">
      <c r="A9" s="79" t="s">
        <v>30</v>
      </c>
      <c r="B9" s="72" t="s">
        <v>70</v>
      </c>
      <c r="C9" s="73" t="s">
        <v>71</v>
      </c>
      <c r="D9" s="74" t="s">
        <v>54</v>
      </c>
      <c r="E9" s="110"/>
      <c r="F9" s="76">
        <f>F5+F6</f>
        <v>88.8</v>
      </c>
      <c r="G9" s="77">
        <f t="shared" si="0"/>
        <v>0</v>
      </c>
    </row>
    <row r="10" spans="1:7" s="78" customFormat="1" ht="47.25" x14ac:dyDescent="0.25">
      <c r="A10" s="79" t="s">
        <v>72</v>
      </c>
      <c r="B10" s="72" t="s">
        <v>101</v>
      </c>
      <c r="C10" s="73" t="s">
        <v>195</v>
      </c>
      <c r="D10" s="74" t="s">
        <v>53</v>
      </c>
      <c r="E10" s="110"/>
      <c r="F10" s="76">
        <f>36*0.5*0.35</f>
        <v>6.3</v>
      </c>
      <c r="G10" s="77">
        <f t="shared" si="0"/>
        <v>0</v>
      </c>
    </row>
    <row r="11" spans="1:7" s="78" customFormat="1" ht="63" x14ac:dyDescent="0.25">
      <c r="A11" s="71" t="s">
        <v>74</v>
      </c>
      <c r="B11" s="72" t="s">
        <v>73</v>
      </c>
      <c r="C11" s="73" t="s">
        <v>185</v>
      </c>
      <c r="D11" s="74" t="s">
        <v>53</v>
      </c>
      <c r="E11" s="110"/>
      <c r="F11" s="76">
        <f>F9*0.4*0.3+F10</f>
        <v>16.956</v>
      </c>
      <c r="G11" s="77">
        <f t="shared" si="0"/>
        <v>0</v>
      </c>
    </row>
    <row r="12" spans="1:7" s="78" customFormat="1" ht="47.25" x14ac:dyDescent="0.25">
      <c r="A12" s="79" t="s">
        <v>31</v>
      </c>
      <c r="B12" s="72" t="s">
        <v>75</v>
      </c>
      <c r="C12" s="73" t="s">
        <v>76</v>
      </c>
      <c r="D12" s="74" t="s">
        <v>54</v>
      </c>
      <c r="E12" s="110"/>
      <c r="F12" s="76">
        <f>F5</f>
        <v>53.279999999999994</v>
      </c>
      <c r="G12" s="77">
        <f t="shared" si="0"/>
        <v>0</v>
      </c>
    </row>
    <row r="13" spans="1:7" s="78" customFormat="1" ht="47.25" x14ac:dyDescent="0.25">
      <c r="A13" s="79" t="s">
        <v>32</v>
      </c>
      <c r="B13" s="72" t="s">
        <v>77</v>
      </c>
      <c r="C13" s="81" t="s">
        <v>78</v>
      </c>
      <c r="D13" s="74" t="s">
        <v>54</v>
      </c>
      <c r="E13" s="110"/>
      <c r="F13" s="76">
        <f>F6</f>
        <v>35.520000000000003</v>
      </c>
      <c r="G13" s="77">
        <f t="shared" si="0"/>
        <v>0</v>
      </c>
    </row>
    <row r="14" spans="1:7" s="78" customFormat="1" ht="47.25" x14ac:dyDescent="0.25">
      <c r="A14" s="71" t="s">
        <v>33</v>
      </c>
      <c r="B14" s="72" t="s">
        <v>79</v>
      </c>
      <c r="C14" s="81" t="s">
        <v>80</v>
      </c>
      <c r="D14" s="74" t="s">
        <v>54</v>
      </c>
      <c r="E14" s="110"/>
      <c r="F14" s="76">
        <f>F7</f>
        <v>22.319999999999997</v>
      </c>
      <c r="G14" s="77">
        <f t="shared" si="0"/>
        <v>0</v>
      </c>
    </row>
    <row r="15" spans="1:7" s="78" customFormat="1" ht="47.25" x14ac:dyDescent="0.25">
      <c r="A15" s="79" t="s">
        <v>34</v>
      </c>
      <c r="B15" s="72" t="s">
        <v>81</v>
      </c>
      <c r="C15" s="81" t="s">
        <v>82</v>
      </c>
      <c r="D15" s="74" t="s">
        <v>54</v>
      </c>
      <c r="E15" s="110"/>
      <c r="F15" s="76">
        <f>F8</f>
        <v>14.879999999999999</v>
      </c>
      <c r="G15" s="77">
        <f t="shared" si="0"/>
        <v>0</v>
      </c>
    </row>
    <row r="16" spans="1:7" s="78" customFormat="1" ht="47.25" x14ac:dyDescent="0.25">
      <c r="A16" s="79" t="s">
        <v>35</v>
      </c>
      <c r="B16" s="72" t="s">
        <v>83</v>
      </c>
      <c r="C16" s="73" t="s">
        <v>139</v>
      </c>
      <c r="D16" s="74" t="s">
        <v>55</v>
      </c>
      <c r="E16" s="110"/>
      <c r="F16" s="76">
        <f>F20+F21+F22+F23+F19</f>
        <v>36.029600000000002</v>
      </c>
      <c r="G16" s="77">
        <f t="shared" si="0"/>
        <v>0</v>
      </c>
    </row>
    <row r="17" spans="1:7" s="78" customFormat="1" ht="48.75" customHeight="1" x14ac:dyDescent="0.25">
      <c r="A17" s="71" t="s">
        <v>85</v>
      </c>
      <c r="B17" s="72" t="s">
        <v>84</v>
      </c>
      <c r="C17" s="73" t="s">
        <v>140</v>
      </c>
      <c r="D17" s="74" t="s">
        <v>55</v>
      </c>
      <c r="E17" s="110"/>
      <c r="F17" s="76">
        <f>20*(F20+F21+F22+F23)+F19</f>
        <v>205.12960000000001</v>
      </c>
      <c r="G17" s="77">
        <f t="shared" si="0"/>
        <v>0</v>
      </c>
    </row>
    <row r="18" spans="1:7" s="78" customFormat="1" ht="31.5" x14ac:dyDescent="0.25">
      <c r="A18" s="79" t="s">
        <v>87</v>
      </c>
      <c r="B18" s="72" t="s">
        <v>86</v>
      </c>
      <c r="C18" s="73" t="s">
        <v>186</v>
      </c>
      <c r="D18" s="74" t="s">
        <v>53</v>
      </c>
      <c r="E18" s="110"/>
      <c r="F18" s="76">
        <f>F11</f>
        <v>16.956</v>
      </c>
      <c r="G18" s="77">
        <f t="shared" si="0"/>
        <v>0</v>
      </c>
    </row>
    <row r="19" spans="1:7" s="78" customFormat="1" ht="31.5" x14ac:dyDescent="0.25">
      <c r="A19" s="79" t="s">
        <v>89</v>
      </c>
      <c r="B19" s="72" t="s">
        <v>88</v>
      </c>
      <c r="C19" s="73" t="s">
        <v>187</v>
      </c>
      <c r="D19" s="74" t="s">
        <v>55</v>
      </c>
      <c r="E19" s="111"/>
      <c r="F19" s="76">
        <f>F18*1.6</f>
        <v>27.1296</v>
      </c>
      <c r="G19" s="77">
        <f t="shared" si="0"/>
        <v>0</v>
      </c>
    </row>
    <row r="20" spans="1:7" s="78" customFormat="1" ht="31.5" x14ac:dyDescent="0.25">
      <c r="A20" s="71" t="s">
        <v>36</v>
      </c>
      <c r="B20" s="72" t="s">
        <v>90</v>
      </c>
      <c r="C20" s="73" t="s">
        <v>91</v>
      </c>
      <c r="D20" s="74" t="s">
        <v>55</v>
      </c>
      <c r="E20" s="111"/>
      <c r="F20" s="76">
        <v>6</v>
      </c>
      <c r="G20" s="77">
        <f t="shared" si="0"/>
        <v>0</v>
      </c>
    </row>
    <row r="21" spans="1:7" s="78" customFormat="1" ht="31.5" x14ac:dyDescent="0.25">
      <c r="A21" s="79" t="s">
        <v>63</v>
      </c>
      <c r="B21" s="72" t="s">
        <v>92</v>
      </c>
      <c r="C21" s="73" t="s">
        <v>93</v>
      </c>
      <c r="D21" s="74" t="s">
        <v>55</v>
      </c>
      <c r="E21" s="111"/>
      <c r="F21" s="76">
        <v>1.25</v>
      </c>
      <c r="G21" s="77">
        <f t="shared" si="0"/>
        <v>0</v>
      </c>
    </row>
    <row r="22" spans="1:7" s="78" customFormat="1" ht="31.5" x14ac:dyDescent="0.25">
      <c r="A22" s="79" t="s">
        <v>96</v>
      </c>
      <c r="B22" s="72" t="s">
        <v>94</v>
      </c>
      <c r="C22" s="73" t="s">
        <v>95</v>
      </c>
      <c r="D22" s="74" t="s">
        <v>55</v>
      </c>
      <c r="E22" s="111"/>
      <c r="F22" s="76">
        <v>1</v>
      </c>
      <c r="G22" s="77">
        <f t="shared" si="0"/>
        <v>0</v>
      </c>
    </row>
    <row r="23" spans="1:7" s="78" customFormat="1" ht="31.5" x14ac:dyDescent="0.25">
      <c r="A23" s="71" t="s">
        <v>99</v>
      </c>
      <c r="B23" s="72" t="s">
        <v>97</v>
      </c>
      <c r="C23" s="73" t="s">
        <v>98</v>
      </c>
      <c r="D23" s="74" t="s">
        <v>55</v>
      </c>
      <c r="E23" s="111"/>
      <c r="F23" s="76">
        <v>0.65</v>
      </c>
      <c r="G23" s="77">
        <f t="shared" si="0"/>
        <v>0</v>
      </c>
    </row>
    <row r="24" spans="1:7" s="78" customFormat="1" ht="63" x14ac:dyDescent="0.25">
      <c r="A24" s="79" t="s">
        <v>103</v>
      </c>
      <c r="B24" s="72" t="s">
        <v>100</v>
      </c>
      <c r="C24" s="73" t="s">
        <v>197</v>
      </c>
      <c r="D24" s="74" t="s">
        <v>53</v>
      </c>
      <c r="E24" s="111"/>
      <c r="F24" s="76">
        <f>3+1*0.9</f>
        <v>3.9</v>
      </c>
      <c r="G24" s="77">
        <f t="shared" si="0"/>
        <v>0</v>
      </c>
    </row>
    <row r="25" spans="1:7" s="78" customFormat="1" ht="31.5" x14ac:dyDescent="0.25">
      <c r="A25" s="79" t="s">
        <v>146</v>
      </c>
      <c r="B25" s="72" t="s">
        <v>102</v>
      </c>
      <c r="C25" s="73" t="s">
        <v>196</v>
      </c>
      <c r="D25" s="74" t="s">
        <v>55</v>
      </c>
      <c r="E25" s="111"/>
      <c r="F25" s="76">
        <f>36*0.5*0.004</f>
        <v>7.2000000000000008E-2</v>
      </c>
      <c r="G25" s="77">
        <f t="shared" si="0"/>
        <v>0</v>
      </c>
    </row>
    <row r="26" spans="1:7" s="78" customFormat="1" ht="78.75" x14ac:dyDescent="0.25">
      <c r="A26" s="71" t="s">
        <v>147</v>
      </c>
      <c r="B26" s="72" t="s">
        <v>141</v>
      </c>
      <c r="C26" s="73" t="s">
        <v>247</v>
      </c>
      <c r="D26" s="74" t="s">
        <v>3</v>
      </c>
      <c r="E26" s="110"/>
      <c r="F26" s="76">
        <v>6</v>
      </c>
      <c r="G26" s="77">
        <f t="shared" si="0"/>
        <v>0</v>
      </c>
    </row>
    <row r="27" spans="1:7" s="78" customFormat="1" ht="31.5" x14ac:dyDescent="0.25">
      <c r="A27" s="79" t="s">
        <v>148</v>
      </c>
      <c r="B27" s="72" t="s">
        <v>144</v>
      </c>
      <c r="C27" s="73" t="s">
        <v>198</v>
      </c>
      <c r="D27" s="74" t="s">
        <v>3</v>
      </c>
      <c r="E27" s="110"/>
      <c r="F27" s="76">
        <v>1</v>
      </c>
      <c r="G27" s="77">
        <f t="shared" ref="G27" si="1">F27*E27</f>
        <v>0</v>
      </c>
    </row>
    <row r="28" spans="1:7" s="78" customFormat="1" ht="31.5" x14ac:dyDescent="0.25">
      <c r="A28" s="79" t="s">
        <v>149</v>
      </c>
      <c r="B28" s="72" t="s">
        <v>145</v>
      </c>
      <c r="C28" s="73" t="s">
        <v>204</v>
      </c>
      <c r="D28" s="74" t="s">
        <v>3</v>
      </c>
      <c r="E28" s="110"/>
      <c r="F28" s="76">
        <v>4</v>
      </c>
      <c r="G28" s="77">
        <f t="shared" si="0"/>
        <v>0</v>
      </c>
    </row>
    <row r="29" spans="1:7" s="78" customFormat="1" ht="47.25" x14ac:dyDescent="0.25">
      <c r="A29" s="71" t="s">
        <v>150</v>
      </c>
      <c r="B29" s="72" t="s">
        <v>199</v>
      </c>
      <c r="C29" s="73" t="s">
        <v>237</v>
      </c>
      <c r="D29" s="74" t="s">
        <v>3</v>
      </c>
      <c r="E29" s="110"/>
      <c r="F29" s="76">
        <v>3</v>
      </c>
      <c r="G29" s="77">
        <f t="shared" ref="G29" si="2">F29*E29</f>
        <v>0</v>
      </c>
    </row>
    <row r="30" spans="1:7" s="78" customFormat="1" ht="31.5" x14ac:dyDescent="0.25">
      <c r="A30" s="79" t="s">
        <v>151</v>
      </c>
      <c r="B30" s="72" t="s">
        <v>142</v>
      </c>
      <c r="C30" s="73" t="s">
        <v>203</v>
      </c>
      <c r="D30" s="74" t="s">
        <v>53</v>
      </c>
      <c r="E30" s="110"/>
      <c r="F30" s="76">
        <f>4*0.45</f>
        <v>1.8</v>
      </c>
      <c r="G30" s="77">
        <f t="shared" si="0"/>
        <v>0</v>
      </c>
    </row>
    <row r="31" spans="1:7" s="78" customFormat="1" ht="84.75" customHeight="1" x14ac:dyDescent="0.25">
      <c r="A31" s="79" t="s">
        <v>219</v>
      </c>
      <c r="B31" s="72" t="s">
        <v>143</v>
      </c>
      <c r="C31" s="73" t="s">
        <v>202</v>
      </c>
      <c r="D31" s="74" t="s">
        <v>3</v>
      </c>
      <c r="E31" s="110"/>
      <c r="F31" s="76">
        <v>1</v>
      </c>
      <c r="G31" s="77">
        <f t="shared" si="0"/>
        <v>0</v>
      </c>
    </row>
    <row r="32" spans="1:7" s="78" customFormat="1" ht="31.5" x14ac:dyDescent="0.25">
      <c r="A32" s="71" t="s">
        <v>211</v>
      </c>
      <c r="B32" s="72" t="s">
        <v>213</v>
      </c>
      <c r="C32" s="73" t="s">
        <v>201</v>
      </c>
      <c r="D32" s="74" t="s">
        <v>3</v>
      </c>
      <c r="E32" s="110"/>
      <c r="F32" s="76">
        <v>1</v>
      </c>
      <c r="G32" s="77">
        <f t="shared" si="0"/>
        <v>0</v>
      </c>
    </row>
    <row r="33" spans="1:7" s="78" customFormat="1" ht="31.5" x14ac:dyDescent="0.25">
      <c r="A33" s="79" t="s">
        <v>209</v>
      </c>
      <c r="B33" s="72" t="s">
        <v>142</v>
      </c>
      <c r="C33" s="73" t="s">
        <v>200</v>
      </c>
      <c r="D33" s="74" t="s">
        <v>53</v>
      </c>
      <c r="E33" s="110"/>
      <c r="F33" s="76">
        <f>1.2*0.8</f>
        <v>0.96</v>
      </c>
      <c r="G33" s="77">
        <f t="shared" si="0"/>
        <v>0</v>
      </c>
    </row>
    <row r="34" spans="1:7" s="78" customFormat="1" ht="47.25" x14ac:dyDescent="0.25">
      <c r="A34" s="79" t="s">
        <v>220</v>
      </c>
      <c r="B34" s="83" t="s">
        <v>206</v>
      </c>
      <c r="C34" s="81" t="s">
        <v>207</v>
      </c>
      <c r="D34" s="84" t="s">
        <v>208</v>
      </c>
      <c r="E34" s="112"/>
      <c r="F34" s="86">
        <f>1.2*((13+17+10)*1)</f>
        <v>48</v>
      </c>
      <c r="G34" s="77">
        <f t="shared" si="0"/>
        <v>0</v>
      </c>
    </row>
    <row r="35" spans="1:7" s="78" customFormat="1" ht="31.5" x14ac:dyDescent="0.25">
      <c r="A35" s="71" t="s">
        <v>205</v>
      </c>
      <c r="B35" s="83" t="s">
        <v>214</v>
      </c>
      <c r="C35" s="81" t="s">
        <v>210</v>
      </c>
      <c r="D35" s="84" t="s">
        <v>208</v>
      </c>
      <c r="E35" s="112"/>
      <c r="F35" s="86">
        <f>F5+F6</f>
        <v>88.8</v>
      </c>
      <c r="G35" s="77">
        <f t="shared" si="0"/>
        <v>0</v>
      </c>
    </row>
    <row r="36" spans="1:7" s="78" customFormat="1" ht="63" x14ac:dyDescent="0.25">
      <c r="A36" s="79" t="s">
        <v>221</v>
      </c>
      <c r="B36" s="83" t="s">
        <v>212</v>
      </c>
      <c r="C36" s="81" t="s">
        <v>250</v>
      </c>
      <c r="D36" s="84" t="s">
        <v>54</v>
      </c>
      <c r="E36" s="112"/>
      <c r="F36" s="86">
        <f>1.1*(16*3+12*3+17*3+14*3)</f>
        <v>194.70000000000002</v>
      </c>
      <c r="G36" s="77">
        <f t="shared" si="0"/>
        <v>0</v>
      </c>
    </row>
    <row r="37" spans="1:7" s="78" customFormat="1" ht="47.25" x14ac:dyDescent="0.25">
      <c r="A37" s="79" t="s">
        <v>251</v>
      </c>
      <c r="B37" s="83" t="s">
        <v>206</v>
      </c>
      <c r="C37" s="81" t="s">
        <v>252</v>
      </c>
      <c r="D37" s="84" t="s">
        <v>208</v>
      </c>
      <c r="E37" s="112"/>
      <c r="F37" s="86">
        <f>1.2*(4+4+4.2)</f>
        <v>14.639999999999999</v>
      </c>
      <c r="G37" s="77">
        <f t="shared" ref="G37" si="3">F37*E37</f>
        <v>0</v>
      </c>
    </row>
    <row r="38" spans="1:7" s="78" customFormat="1" x14ac:dyDescent="0.25">
      <c r="A38" s="82"/>
      <c r="B38" s="83"/>
      <c r="C38" s="81"/>
      <c r="D38" s="84"/>
      <c r="E38" s="85"/>
      <c r="F38" s="86"/>
      <c r="G38" s="87"/>
    </row>
    <row r="39" spans="1:7" s="78" customFormat="1" x14ac:dyDescent="0.25">
      <c r="A39" s="82"/>
      <c r="B39" s="83"/>
      <c r="C39" s="81"/>
      <c r="D39" s="84"/>
      <c r="E39" s="85"/>
      <c r="F39" s="86"/>
      <c r="G39" s="87"/>
    </row>
    <row r="40" spans="1:7" s="78" customFormat="1" x14ac:dyDescent="0.25">
      <c r="A40" s="82"/>
      <c r="B40" s="83"/>
      <c r="C40" s="81"/>
      <c r="D40" s="84"/>
      <c r="E40" s="85"/>
      <c r="F40" s="86"/>
      <c r="G40" s="87"/>
    </row>
    <row r="41" spans="1:7" s="78" customFormat="1" x14ac:dyDescent="0.25">
      <c r="A41" s="82"/>
      <c r="B41" s="83"/>
      <c r="C41" s="81"/>
      <c r="D41" s="84"/>
      <c r="E41" s="85"/>
      <c r="F41" s="86"/>
      <c r="G41" s="87"/>
    </row>
    <row r="42" spans="1:7" s="78" customFormat="1" x14ac:dyDescent="0.25">
      <c r="A42" s="82"/>
      <c r="B42" s="83"/>
      <c r="C42" s="81"/>
      <c r="D42" s="84"/>
      <c r="E42" s="85"/>
      <c r="F42" s="86"/>
      <c r="G42" s="87"/>
    </row>
    <row r="43" spans="1:7" s="78" customFormat="1" ht="16.5" thickBot="1" x14ac:dyDescent="0.3">
      <c r="A43" s="88"/>
      <c r="B43" s="89"/>
      <c r="C43" s="90"/>
      <c r="D43" s="91"/>
      <c r="E43" s="92"/>
      <c r="F43" s="93"/>
      <c r="G43" s="94"/>
    </row>
    <row r="44" spans="1:7" s="95" customFormat="1" ht="16.5" thickTop="1" x14ac:dyDescent="0.25">
      <c r="E44" s="96"/>
      <c r="F44" s="97"/>
      <c r="G44" s="96"/>
    </row>
  </sheetData>
  <phoneticPr fontId="10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>
      <pane ySplit="3" topLeftCell="A7" activePane="bottomLeft" state="frozen"/>
      <selection activeCell="D27" sqref="D27"/>
      <selection pane="bottomLeft" activeCell="I17" sqref="I17"/>
    </sheetView>
  </sheetViews>
  <sheetFormatPr defaultRowHeight="15.75" x14ac:dyDescent="0.25"/>
  <cols>
    <col min="1" max="1" width="7.5" style="1" bestFit="1" customWidth="1"/>
    <col min="2" max="2" width="12.75" style="1" customWidth="1"/>
    <col min="3" max="3" width="78.125" style="1" customWidth="1"/>
    <col min="4" max="4" width="5.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64.5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15</v>
      </c>
      <c r="B2" s="16"/>
      <c r="C2" s="17" t="s">
        <v>56</v>
      </c>
      <c r="D2" s="18"/>
      <c r="E2" s="18"/>
      <c r="F2" s="18"/>
      <c r="G2" s="19"/>
    </row>
    <row r="3" spans="1:7" s="2" customFormat="1" ht="16.5" thickBot="1" x14ac:dyDescent="0.3">
      <c r="A3" s="65"/>
      <c r="B3" s="66"/>
      <c r="C3" s="69" t="s">
        <v>23</v>
      </c>
      <c r="D3" s="67"/>
      <c r="E3" s="67"/>
      <c r="F3" s="67"/>
      <c r="G3" s="68">
        <f>SUM(G4:G19)</f>
        <v>0</v>
      </c>
    </row>
    <row r="4" spans="1:7" s="2" customFormat="1" ht="16.5" customHeight="1" thickTop="1" x14ac:dyDescent="0.25">
      <c r="A4" s="23"/>
      <c r="B4" s="24"/>
      <c r="C4" s="7"/>
      <c r="D4" s="8"/>
      <c r="E4" s="70"/>
      <c r="F4" s="28"/>
      <c r="G4" s="29"/>
    </row>
    <row r="5" spans="1:7" s="78" customFormat="1" ht="47.25" x14ac:dyDescent="0.25">
      <c r="A5" s="71" t="s">
        <v>239</v>
      </c>
      <c r="B5" s="72" t="s">
        <v>104</v>
      </c>
      <c r="C5" s="73" t="s">
        <v>215</v>
      </c>
      <c r="D5" s="74" t="s">
        <v>54</v>
      </c>
      <c r="E5" s="110"/>
      <c r="F5" s="102">
        <f>1.2*(15+18*2+15+14*2+27+19*2+36+17*2)</f>
        <v>274.8</v>
      </c>
      <c r="G5" s="77">
        <f t="shared" ref="G5:G18" si="0">F5*E5</f>
        <v>0</v>
      </c>
    </row>
    <row r="6" spans="1:7" s="78" customFormat="1" ht="31.5" x14ac:dyDescent="0.25">
      <c r="A6" s="71" t="s">
        <v>240</v>
      </c>
      <c r="B6" s="72" t="s">
        <v>108</v>
      </c>
      <c r="C6" s="73" t="s">
        <v>216</v>
      </c>
      <c r="D6" s="74" t="s">
        <v>54</v>
      </c>
      <c r="E6" s="110"/>
      <c r="F6" s="102">
        <f>'1'!F5+'1'!F6+'1'!F7+'1'!F8</f>
        <v>125.99999999999999</v>
      </c>
      <c r="G6" s="77">
        <f t="shared" si="0"/>
        <v>0</v>
      </c>
    </row>
    <row r="7" spans="1:7" s="78" customFormat="1" ht="31.5" x14ac:dyDescent="0.25">
      <c r="A7" s="71" t="s">
        <v>38</v>
      </c>
      <c r="B7" s="72" t="s">
        <v>109</v>
      </c>
      <c r="C7" s="73" t="s">
        <v>217</v>
      </c>
      <c r="D7" s="74" t="s">
        <v>54</v>
      </c>
      <c r="E7" s="110"/>
      <c r="F7" s="102">
        <f>1.25*((15+16*2+2*2+15+14*2+30*2+19*2+36+16*2))</f>
        <v>325</v>
      </c>
      <c r="G7" s="77">
        <f t="shared" si="0"/>
        <v>0</v>
      </c>
    </row>
    <row r="8" spans="1:7" s="78" customFormat="1" ht="31.5" x14ac:dyDescent="0.25">
      <c r="A8" s="71" t="s">
        <v>241</v>
      </c>
      <c r="B8" s="72" t="s">
        <v>152</v>
      </c>
      <c r="C8" s="73" t="s">
        <v>218</v>
      </c>
      <c r="D8" s="74" t="s">
        <v>3</v>
      </c>
      <c r="E8" s="110"/>
      <c r="F8" s="102">
        <v>8</v>
      </c>
      <c r="G8" s="77">
        <f t="shared" si="0"/>
        <v>0</v>
      </c>
    </row>
    <row r="9" spans="1:7" s="78" customFormat="1" ht="31.5" x14ac:dyDescent="0.25">
      <c r="A9" s="71" t="s">
        <v>105</v>
      </c>
      <c r="B9" s="72" t="s">
        <v>153</v>
      </c>
      <c r="C9" s="73" t="s">
        <v>222</v>
      </c>
      <c r="D9" s="74" t="s">
        <v>3</v>
      </c>
      <c r="E9" s="110"/>
      <c r="F9" s="102">
        <v>7</v>
      </c>
      <c r="G9" s="77">
        <f t="shared" si="0"/>
        <v>0</v>
      </c>
    </row>
    <row r="10" spans="1:7" s="78" customFormat="1" ht="31.5" x14ac:dyDescent="0.25">
      <c r="A10" s="71" t="s">
        <v>242</v>
      </c>
      <c r="B10" s="72" t="s">
        <v>154</v>
      </c>
      <c r="C10" s="73" t="s">
        <v>230</v>
      </c>
      <c r="D10" s="74" t="s">
        <v>54</v>
      </c>
      <c r="E10" s="110"/>
      <c r="F10" s="102">
        <f>(7*7+2*12)*1.1</f>
        <v>80.300000000000011</v>
      </c>
      <c r="G10" s="77">
        <f t="shared" si="0"/>
        <v>0</v>
      </c>
    </row>
    <row r="11" spans="1:7" s="78" customFormat="1" ht="31.5" x14ac:dyDescent="0.25">
      <c r="A11" s="71" t="s">
        <v>107</v>
      </c>
      <c r="B11" s="72" t="s">
        <v>155</v>
      </c>
      <c r="C11" s="73" t="s">
        <v>223</v>
      </c>
      <c r="D11" s="74" t="s">
        <v>3</v>
      </c>
      <c r="E11" s="110"/>
      <c r="F11" s="102">
        <v>7</v>
      </c>
      <c r="G11" s="77">
        <f t="shared" si="0"/>
        <v>0</v>
      </c>
    </row>
    <row r="12" spans="1:7" s="78" customFormat="1" ht="47.25" x14ac:dyDescent="0.25">
      <c r="A12" s="71" t="s">
        <v>39</v>
      </c>
      <c r="B12" s="72" t="s">
        <v>156</v>
      </c>
      <c r="C12" s="73" t="s">
        <v>224</v>
      </c>
      <c r="D12" s="74" t="s">
        <v>3</v>
      </c>
      <c r="E12" s="110"/>
      <c r="F12" s="102">
        <v>1</v>
      </c>
      <c r="G12" s="77">
        <f t="shared" si="0"/>
        <v>0</v>
      </c>
    </row>
    <row r="13" spans="1:7" s="78" customFormat="1" ht="31.5" x14ac:dyDescent="0.25">
      <c r="A13" s="71" t="s">
        <v>243</v>
      </c>
      <c r="B13" s="72" t="s">
        <v>111</v>
      </c>
      <c r="C13" s="73" t="s">
        <v>160</v>
      </c>
      <c r="D13" s="74" t="s">
        <v>3</v>
      </c>
      <c r="E13" s="110"/>
      <c r="F13" s="102">
        <f>3*9</f>
        <v>27</v>
      </c>
      <c r="G13" s="77">
        <f t="shared" si="0"/>
        <v>0</v>
      </c>
    </row>
    <row r="14" spans="1:7" s="78" customFormat="1" ht="31.5" x14ac:dyDescent="0.25">
      <c r="A14" s="71" t="s">
        <v>244</v>
      </c>
      <c r="B14" s="72" t="s">
        <v>157</v>
      </c>
      <c r="C14" s="73" t="s">
        <v>225</v>
      </c>
      <c r="D14" s="74" t="s">
        <v>3</v>
      </c>
      <c r="E14" s="110"/>
      <c r="F14" s="102">
        <v>1</v>
      </c>
      <c r="G14" s="77">
        <f t="shared" si="0"/>
        <v>0</v>
      </c>
    </row>
    <row r="15" spans="1:7" s="78" customFormat="1" ht="31.5" x14ac:dyDescent="0.25">
      <c r="A15" s="71" t="s">
        <v>40</v>
      </c>
      <c r="B15" s="72" t="s">
        <v>158</v>
      </c>
      <c r="C15" s="73" t="s">
        <v>226</v>
      </c>
      <c r="D15" s="74" t="s">
        <v>3</v>
      </c>
      <c r="E15" s="110"/>
      <c r="F15" s="102">
        <v>1</v>
      </c>
      <c r="G15" s="77">
        <f t="shared" si="0"/>
        <v>0</v>
      </c>
    </row>
    <row r="16" spans="1:7" s="78" customFormat="1" ht="47.25" x14ac:dyDescent="0.25">
      <c r="A16" s="71" t="s">
        <v>110</v>
      </c>
      <c r="B16" s="83" t="s">
        <v>106</v>
      </c>
      <c r="C16" s="73" t="s">
        <v>227</v>
      </c>
      <c r="D16" s="74" t="s">
        <v>3</v>
      </c>
      <c r="E16" s="110"/>
      <c r="F16" s="102">
        <v>8</v>
      </c>
      <c r="G16" s="77">
        <f t="shared" ref="G16" si="1">F16*E16</f>
        <v>0</v>
      </c>
    </row>
    <row r="17" spans="1:7" s="78" customFormat="1" ht="63" x14ac:dyDescent="0.25">
      <c r="A17" s="71" t="s">
        <v>245</v>
      </c>
      <c r="B17" s="72" t="s">
        <v>159</v>
      </c>
      <c r="C17" s="73" t="s">
        <v>173</v>
      </c>
      <c r="D17" s="74" t="s">
        <v>3</v>
      </c>
      <c r="E17" s="110"/>
      <c r="F17" s="102">
        <f>8+2</f>
        <v>10</v>
      </c>
      <c r="G17" s="77">
        <f t="shared" si="0"/>
        <v>0</v>
      </c>
    </row>
    <row r="18" spans="1:7" s="78" customFormat="1" ht="31.5" x14ac:dyDescent="0.25">
      <c r="A18" s="71" t="s">
        <v>246</v>
      </c>
      <c r="B18" s="72" t="s">
        <v>174</v>
      </c>
      <c r="C18" s="73" t="s">
        <v>175</v>
      </c>
      <c r="D18" s="74" t="s">
        <v>3</v>
      </c>
      <c r="E18" s="111"/>
      <c r="F18" s="102">
        <f>1.2*(F6/12)</f>
        <v>12.599999999999998</v>
      </c>
      <c r="G18" s="77">
        <f t="shared" si="0"/>
        <v>0</v>
      </c>
    </row>
    <row r="19" spans="1:7" s="78" customFormat="1" ht="16.5" thickBot="1" x14ac:dyDescent="0.3">
      <c r="A19" s="88"/>
      <c r="B19" s="89"/>
      <c r="C19" s="90"/>
      <c r="D19" s="91"/>
      <c r="E19" s="92"/>
      <c r="F19" s="93"/>
      <c r="G19" s="94"/>
    </row>
    <row r="20" spans="1:7" s="95" customFormat="1" ht="16.5" thickTop="1" x14ac:dyDescent="0.25">
      <c r="E20" s="96"/>
      <c r="F20" s="97"/>
      <c r="G20" s="96"/>
    </row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pane ySplit="3" topLeftCell="A10" activePane="bottomLeft" state="frozen"/>
      <selection activeCell="D27" sqref="D27"/>
      <selection pane="bottomLeft" activeCell="E22" sqref="E22"/>
    </sheetView>
  </sheetViews>
  <sheetFormatPr defaultRowHeight="15.75" x14ac:dyDescent="0.25"/>
  <cols>
    <col min="1" max="1" width="7.5" style="1" bestFit="1" customWidth="1"/>
    <col min="2" max="2" width="10.8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16</v>
      </c>
      <c r="B2" s="16"/>
      <c r="C2" s="17" t="s">
        <v>57</v>
      </c>
      <c r="D2" s="18"/>
      <c r="E2" s="18"/>
      <c r="F2" s="18"/>
      <c r="G2" s="19"/>
    </row>
    <row r="3" spans="1:7" s="2" customFormat="1" ht="16.5" thickBot="1" x14ac:dyDescent="0.3">
      <c r="A3" s="65"/>
      <c r="B3" s="66"/>
      <c r="C3" s="69" t="s">
        <v>23</v>
      </c>
      <c r="D3" s="67"/>
      <c r="E3" s="67"/>
      <c r="F3" s="67"/>
      <c r="G3" s="68">
        <f>SUM(G4:G41)</f>
        <v>0</v>
      </c>
    </row>
    <row r="4" spans="1:7" s="2" customFormat="1" ht="16.5" thickTop="1" x14ac:dyDescent="0.25">
      <c r="A4" s="23"/>
      <c r="B4" s="24"/>
      <c r="C4" s="7"/>
      <c r="D4" s="8"/>
      <c r="E4" s="70"/>
      <c r="F4" s="63"/>
      <c r="G4" s="29"/>
    </row>
    <row r="5" spans="1:7" s="78" customFormat="1" ht="31.5" x14ac:dyDescent="0.25">
      <c r="A5" s="71" t="s">
        <v>112</v>
      </c>
      <c r="B5" s="72" t="s">
        <v>113</v>
      </c>
      <c r="C5" s="73" t="s">
        <v>114</v>
      </c>
      <c r="D5" s="74" t="s">
        <v>54</v>
      </c>
      <c r="E5" s="110"/>
      <c r="F5" s="103">
        <f>1.1*'2'!F5</f>
        <v>302.28000000000003</v>
      </c>
      <c r="G5" s="77">
        <f t="shared" ref="G5:G6" si="0">F5*E5</f>
        <v>0</v>
      </c>
    </row>
    <row r="6" spans="1:7" s="78" customFormat="1" ht="31.5" x14ac:dyDescent="0.25">
      <c r="A6" s="71" t="s">
        <v>171</v>
      </c>
      <c r="B6" s="72" t="s">
        <v>119</v>
      </c>
      <c r="C6" s="73" t="s">
        <v>120</v>
      </c>
      <c r="D6" s="74" t="s">
        <v>121</v>
      </c>
      <c r="E6" s="110"/>
      <c r="F6" s="103">
        <f>1.05*'2'!F6</f>
        <v>132.29999999999998</v>
      </c>
      <c r="G6" s="77">
        <f t="shared" si="0"/>
        <v>0</v>
      </c>
    </row>
    <row r="7" spans="1:7" s="78" customFormat="1" x14ac:dyDescent="0.25">
      <c r="A7" s="71"/>
      <c r="B7" s="72"/>
      <c r="C7" s="73"/>
      <c r="D7" s="74"/>
      <c r="E7" s="75"/>
      <c r="F7" s="102"/>
      <c r="G7" s="77"/>
    </row>
    <row r="8" spans="1:7" s="78" customFormat="1" ht="47.25" x14ac:dyDescent="0.25">
      <c r="A8" s="71" t="s">
        <v>41</v>
      </c>
      <c r="B8" s="98" t="s">
        <v>116</v>
      </c>
      <c r="C8" s="99" t="s">
        <v>228</v>
      </c>
      <c r="D8" s="100" t="s">
        <v>3</v>
      </c>
      <c r="E8" s="110"/>
      <c r="F8" s="102">
        <v>8</v>
      </c>
      <c r="G8" s="77">
        <f t="shared" ref="G8:G20" si="1">F8*E8</f>
        <v>0</v>
      </c>
    </row>
    <row r="9" spans="1:7" s="78" customFormat="1" ht="31.5" x14ac:dyDescent="0.25">
      <c r="A9" s="71" t="s">
        <v>115</v>
      </c>
      <c r="B9" s="72" t="s">
        <v>164</v>
      </c>
      <c r="C9" s="73" t="s">
        <v>168</v>
      </c>
      <c r="D9" s="74" t="s">
        <v>54</v>
      </c>
      <c r="E9" s="110"/>
      <c r="F9" s="102">
        <f>1.05*'2'!F10</f>
        <v>84.315000000000012</v>
      </c>
      <c r="G9" s="77">
        <f t="shared" si="1"/>
        <v>0</v>
      </c>
    </row>
    <row r="10" spans="1:7" s="78" customFormat="1" ht="47.25" x14ac:dyDescent="0.25">
      <c r="A10" s="71" t="s">
        <v>172</v>
      </c>
      <c r="B10" s="72" t="s">
        <v>170</v>
      </c>
      <c r="C10" s="73" t="s">
        <v>169</v>
      </c>
      <c r="D10" s="74" t="s">
        <v>3</v>
      </c>
      <c r="E10" s="110"/>
      <c r="F10" s="102">
        <f>'2'!F11+'2'!F12</f>
        <v>8</v>
      </c>
      <c r="G10" s="77">
        <f t="shared" si="1"/>
        <v>0</v>
      </c>
    </row>
    <row r="11" spans="1:7" s="78" customFormat="1" ht="31.5" x14ac:dyDescent="0.25">
      <c r="A11" s="71" t="s">
        <v>42</v>
      </c>
      <c r="B11" s="72" t="s">
        <v>165</v>
      </c>
      <c r="C11" s="73" t="s">
        <v>231</v>
      </c>
      <c r="D11" s="74" t="s">
        <v>3</v>
      </c>
      <c r="E11" s="110"/>
      <c r="F11" s="102">
        <v>1</v>
      </c>
      <c r="G11" s="77">
        <f t="shared" si="1"/>
        <v>0</v>
      </c>
    </row>
    <row r="12" spans="1:7" s="78" customFormat="1" ht="63" x14ac:dyDescent="0.25">
      <c r="A12" s="71" t="s">
        <v>118</v>
      </c>
      <c r="B12" s="72" t="s">
        <v>165</v>
      </c>
      <c r="C12" s="73" t="s">
        <v>238</v>
      </c>
      <c r="D12" s="74" t="s">
        <v>3</v>
      </c>
      <c r="E12" s="110"/>
      <c r="F12" s="102">
        <v>7</v>
      </c>
      <c r="G12" s="77">
        <f t="shared" ref="G12" si="2">F12*E12</f>
        <v>0</v>
      </c>
    </row>
    <row r="13" spans="1:7" s="78" customFormat="1" ht="47.25" x14ac:dyDescent="0.25">
      <c r="A13" s="71" t="s">
        <v>43</v>
      </c>
      <c r="B13" s="72" t="s">
        <v>117</v>
      </c>
      <c r="C13" s="73" t="s">
        <v>229</v>
      </c>
      <c r="D13" s="74" t="s">
        <v>3</v>
      </c>
      <c r="E13" s="110"/>
      <c r="F13" s="102">
        <v>1</v>
      </c>
      <c r="G13" s="77">
        <f t="shared" si="1"/>
        <v>0</v>
      </c>
    </row>
    <row r="14" spans="1:7" s="78" customFormat="1" ht="31.5" x14ac:dyDescent="0.25">
      <c r="A14" s="71" t="s">
        <v>44</v>
      </c>
      <c r="B14" s="72" t="s">
        <v>167</v>
      </c>
      <c r="C14" s="73" t="s">
        <v>184</v>
      </c>
      <c r="D14" s="74" t="s">
        <v>3</v>
      </c>
      <c r="E14" s="110"/>
      <c r="F14" s="102">
        <v>8</v>
      </c>
      <c r="G14" s="77">
        <f t="shared" si="1"/>
        <v>0</v>
      </c>
    </row>
    <row r="15" spans="1:7" s="78" customFormat="1" x14ac:dyDescent="0.25">
      <c r="A15" s="71"/>
      <c r="B15" s="72"/>
      <c r="C15" s="73"/>
      <c r="D15" s="74"/>
      <c r="E15" s="75"/>
      <c r="F15" s="102"/>
      <c r="G15" s="77"/>
    </row>
    <row r="16" spans="1:7" s="78" customFormat="1" ht="31.5" x14ac:dyDescent="0.25">
      <c r="A16" s="71" t="s">
        <v>45</v>
      </c>
      <c r="B16" s="72" t="s">
        <v>176</v>
      </c>
      <c r="C16" s="73" t="s">
        <v>177</v>
      </c>
      <c r="D16" s="74" t="s">
        <v>3</v>
      </c>
      <c r="E16" s="110"/>
      <c r="F16" s="102">
        <f>'2'!F18</f>
        <v>12.599999999999998</v>
      </c>
      <c r="G16" s="77">
        <f t="shared" si="1"/>
        <v>0</v>
      </c>
    </row>
    <row r="17" spans="1:7" s="78" customFormat="1" ht="31.5" x14ac:dyDescent="0.25">
      <c r="A17" s="71" t="s">
        <v>178</v>
      </c>
      <c r="B17" s="72" t="s">
        <v>181</v>
      </c>
      <c r="C17" s="73" t="s">
        <v>232</v>
      </c>
      <c r="D17" s="74" t="s">
        <v>54</v>
      </c>
      <c r="E17" s="110"/>
      <c r="F17" s="102">
        <f>1.2*(15+18*2+15+14*2+27+19*2+36+16*2)</f>
        <v>272.39999999999998</v>
      </c>
      <c r="G17" s="77">
        <f t="shared" si="1"/>
        <v>0</v>
      </c>
    </row>
    <row r="18" spans="1:7" s="78" customFormat="1" ht="31.5" x14ac:dyDescent="0.25">
      <c r="A18" s="71" t="s">
        <v>179</v>
      </c>
      <c r="B18" s="72" t="s">
        <v>182</v>
      </c>
      <c r="C18" s="73" t="s">
        <v>233</v>
      </c>
      <c r="D18" s="74" t="s">
        <v>54</v>
      </c>
      <c r="E18" s="110"/>
      <c r="F18" s="102">
        <f>1.3*2*30</f>
        <v>78</v>
      </c>
      <c r="G18" s="77">
        <f t="shared" si="1"/>
        <v>0</v>
      </c>
    </row>
    <row r="19" spans="1:7" s="78" customFormat="1" ht="47.25" x14ac:dyDescent="0.25">
      <c r="A19" s="71" t="s">
        <v>122</v>
      </c>
      <c r="B19" s="72" t="s">
        <v>183</v>
      </c>
      <c r="C19" s="73" t="s">
        <v>235</v>
      </c>
      <c r="D19" s="74" t="s">
        <v>3</v>
      </c>
      <c r="E19" s="110"/>
      <c r="F19" s="103">
        <v>1</v>
      </c>
      <c r="G19" s="77">
        <f t="shared" si="1"/>
        <v>0</v>
      </c>
    </row>
    <row r="20" spans="1:7" s="78" customFormat="1" ht="31.5" x14ac:dyDescent="0.25">
      <c r="A20" s="71" t="s">
        <v>46</v>
      </c>
      <c r="B20" s="72" t="s">
        <v>166</v>
      </c>
      <c r="C20" s="73" t="s">
        <v>234</v>
      </c>
      <c r="D20" s="74" t="s">
        <v>3</v>
      </c>
      <c r="E20" s="110"/>
      <c r="F20" s="103">
        <v>7</v>
      </c>
      <c r="G20" s="77">
        <f t="shared" si="1"/>
        <v>0</v>
      </c>
    </row>
    <row r="21" spans="1:7" s="78" customFormat="1" x14ac:dyDescent="0.25">
      <c r="A21" s="71"/>
      <c r="B21" s="72"/>
      <c r="C21" s="73"/>
      <c r="D21" s="74"/>
      <c r="E21" s="75"/>
      <c r="F21" s="103"/>
      <c r="G21" s="77"/>
    </row>
    <row r="22" spans="1:7" s="78" customFormat="1" ht="31.5" x14ac:dyDescent="0.25">
      <c r="A22" s="71" t="s">
        <v>180</v>
      </c>
      <c r="B22" s="72" t="s">
        <v>166</v>
      </c>
      <c r="C22" s="73" t="s">
        <v>236</v>
      </c>
      <c r="D22" s="74" t="s">
        <v>3</v>
      </c>
      <c r="E22" s="110"/>
      <c r="F22" s="103">
        <v>1</v>
      </c>
      <c r="G22" s="77">
        <f t="shared" ref="G22" si="3">F22*E22</f>
        <v>0</v>
      </c>
    </row>
    <row r="23" spans="1:7" s="78" customFormat="1" x14ac:dyDescent="0.25">
      <c r="A23" s="71"/>
      <c r="B23" s="72"/>
      <c r="C23" s="73"/>
      <c r="D23" s="74"/>
      <c r="E23" s="75"/>
      <c r="F23" s="103"/>
      <c r="G23" s="77"/>
    </row>
    <row r="24" spans="1:7" s="78" customFormat="1" x14ac:dyDescent="0.25">
      <c r="A24" s="71"/>
      <c r="B24" s="72"/>
      <c r="C24" s="73"/>
      <c r="D24" s="74"/>
      <c r="E24" s="75"/>
      <c r="F24" s="103"/>
      <c r="G24" s="77"/>
    </row>
    <row r="25" spans="1:7" s="78" customFormat="1" x14ac:dyDescent="0.25">
      <c r="A25" s="71"/>
      <c r="B25" s="72"/>
      <c r="C25" s="73"/>
      <c r="D25" s="74"/>
      <c r="E25" s="75"/>
      <c r="F25" s="103"/>
      <c r="G25" s="77"/>
    </row>
    <row r="26" spans="1:7" s="78" customFormat="1" x14ac:dyDescent="0.25">
      <c r="A26" s="71"/>
      <c r="B26" s="72"/>
      <c r="C26" s="73"/>
      <c r="D26" s="74"/>
      <c r="E26" s="75"/>
      <c r="F26" s="103"/>
      <c r="G26" s="77"/>
    </row>
    <row r="27" spans="1:7" s="78" customFormat="1" x14ac:dyDescent="0.25">
      <c r="A27" s="71"/>
      <c r="B27" s="72"/>
      <c r="C27" s="73"/>
      <c r="D27" s="74"/>
      <c r="E27" s="80"/>
      <c r="F27" s="103"/>
      <c r="G27" s="77"/>
    </row>
    <row r="28" spans="1:7" s="78" customFormat="1" x14ac:dyDescent="0.25">
      <c r="A28" s="71"/>
      <c r="B28" s="72"/>
      <c r="C28" s="73"/>
      <c r="D28" s="74"/>
      <c r="E28" s="75"/>
      <c r="F28" s="103"/>
      <c r="G28" s="77"/>
    </row>
    <row r="29" spans="1:7" s="78" customFormat="1" x14ac:dyDescent="0.25">
      <c r="A29" s="71"/>
      <c r="B29" s="72"/>
      <c r="C29" s="73"/>
      <c r="D29" s="74"/>
      <c r="E29" s="75"/>
      <c r="F29" s="103"/>
      <c r="G29" s="77"/>
    </row>
    <row r="30" spans="1:7" s="78" customFormat="1" x14ac:dyDescent="0.25">
      <c r="A30" s="71"/>
      <c r="B30" s="72"/>
      <c r="C30" s="73"/>
      <c r="D30" s="74"/>
      <c r="E30" s="75"/>
      <c r="F30" s="103"/>
      <c r="G30" s="77"/>
    </row>
    <row r="31" spans="1:7" s="78" customFormat="1" x14ac:dyDescent="0.25">
      <c r="A31" s="71"/>
      <c r="B31" s="72"/>
      <c r="C31" s="73"/>
      <c r="D31" s="74"/>
      <c r="E31" s="75"/>
      <c r="F31" s="103"/>
      <c r="G31" s="77"/>
    </row>
    <row r="32" spans="1:7" s="78" customFormat="1" x14ac:dyDescent="0.25">
      <c r="A32" s="71"/>
      <c r="B32" s="72"/>
      <c r="C32" s="73"/>
      <c r="D32" s="74"/>
      <c r="E32" s="75"/>
      <c r="F32" s="103"/>
      <c r="G32" s="77"/>
    </row>
    <row r="33" spans="1:7" s="78" customFormat="1" x14ac:dyDescent="0.25">
      <c r="A33" s="71"/>
      <c r="B33" s="72"/>
      <c r="C33" s="73"/>
      <c r="D33" s="74"/>
      <c r="E33" s="80"/>
      <c r="F33" s="102"/>
      <c r="G33" s="77"/>
    </row>
    <row r="34" spans="1:7" s="78" customFormat="1" x14ac:dyDescent="0.25">
      <c r="A34" s="71"/>
      <c r="B34" s="72"/>
      <c r="C34" s="73"/>
      <c r="D34" s="74"/>
      <c r="E34" s="80"/>
      <c r="F34" s="102"/>
      <c r="G34" s="77"/>
    </row>
    <row r="35" spans="1:7" s="78" customFormat="1" x14ac:dyDescent="0.25">
      <c r="A35" s="71"/>
      <c r="B35" s="72"/>
      <c r="C35" s="73"/>
      <c r="D35" s="74"/>
      <c r="E35" s="80"/>
      <c r="F35" s="102"/>
      <c r="G35" s="77"/>
    </row>
    <row r="36" spans="1:7" s="78" customFormat="1" x14ac:dyDescent="0.25">
      <c r="A36" s="71"/>
      <c r="B36" s="72"/>
      <c r="C36" s="73"/>
      <c r="D36" s="74"/>
      <c r="E36" s="80"/>
      <c r="F36" s="102"/>
      <c r="G36" s="77"/>
    </row>
    <row r="37" spans="1:7" s="78" customFormat="1" x14ac:dyDescent="0.25">
      <c r="A37" s="71"/>
      <c r="B37" s="72"/>
      <c r="C37" s="73"/>
      <c r="D37" s="74"/>
      <c r="E37" s="80"/>
      <c r="F37" s="102"/>
      <c r="G37" s="77"/>
    </row>
    <row r="38" spans="1:7" s="78" customFormat="1" x14ac:dyDescent="0.25">
      <c r="A38" s="71"/>
      <c r="B38" s="72"/>
      <c r="C38" s="73"/>
      <c r="D38" s="74"/>
      <c r="E38" s="80"/>
      <c r="F38" s="102"/>
      <c r="G38" s="77"/>
    </row>
    <row r="39" spans="1:7" s="78" customFormat="1" x14ac:dyDescent="0.25">
      <c r="A39" s="71"/>
      <c r="B39" s="72"/>
      <c r="C39" s="73"/>
      <c r="D39" s="74"/>
      <c r="E39" s="80"/>
      <c r="F39" s="102"/>
      <c r="G39" s="77"/>
    </row>
    <row r="40" spans="1:7" s="78" customFormat="1" x14ac:dyDescent="0.25">
      <c r="A40" s="71"/>
      <c r="B40" s="72"/>
      <c r="C40" s="73"/>
      <c r="D40" s="74"/>
      <c r="E40" s="80"/>
      <c r="F40" s="102"/>
      <c r="G40" s="77"/>
    </row>
    <row r="41" spans="1:7" s="78" customFormat="1" ht="16.5" thickBot="1" x14ac:dyDescent="0.3">
      <c r="A41" s="88"/>
      <c r="B41" s="89"/>
      <c r="C41" s="90"/>
      <c r="D41" s="91"/>
      <c r="E41" s="92"/>
      <c r="F41" s="93"/>
      <c r="G41" s="94"/>
    </row>
    <row r="42" spans="1:7" s="95" customFormat="1" ht="16.5" thickTop="1" x14ac:dyDescent="0.25">
      <c r="E42" s="96"/>
      <c r="F42" s="97"/>
      <c r="G42" s="96"/>
    </row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workbookViewId="0">
      <pane ySplit="3" topLeftCell="A4" activePane="bottomLeft" state="frozen"/>
      <selection activeCell="D27" sqref="D27"/>
      <selection pane="bottomLeft" activeCell="E4" sqref="E4:E5"/>
    </sheetView>
  </sheetViews>
  <sheetFormatPr defaultRowHeight="15.75" x14ac:dyDescent="0.25"/>
  <cols>
    <col min="1" max="1" width="7.5" style="1" bestFit="1" customWidth="1"/>
    <col min="2" max="2" width="12.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17</v>
      </c>
      <c r="B2" s="16"/>
      <c r="C2" s="17" t="s">
        <v>58</v>
      </c>
      <c r="D2" s="18"/>
      <c r="E2" s="18"/>
      <c r="F2" s="18"/>
      <c r="G2" s="19"/>
    </row>
    <row r="3" spans="1:7" s="2" customFormat="1" ht="16.5" thickBot="1" x14ac:dyDescent="0.3">
      <c r="A3" s="65"/>
      <c r="B3" s="66"/>
      <c r="C3" s="69" t="s">
        <v>23</v>
      </c>
      <c r="D3" s="67"/>
      <c r="E3" s="67"/>
      <c r="F3" s="67"/>
      <c r="G3" s="68">
        <f>SUM(G4:G9)</f>
        <v>0</v>
      </c>
    </row>
    <row r="4" spans="1:7" s="78" customFormat="1" ht="48" thickTop="1" x14ac:dyDescent="0.25">
      <c r="A4" s="79" t="s">
        <v>64</v>
      </c>
      <c r="B4" s="98" t="s">
        <v>123</v>
      </c>
      <c r="C4" s="99" t="s">
        <v>163</v>
      </c>
      <c r="D4" s="100" t="s">
        <v>3</v>
      </c>
      <c r="E4" s="113"/>
      <c r="F4" s="103">
        <f>8*3</f>
        <v>24</v>
      </c>
      <c r="G4" s="101">
        <f t="shared" ref="G4:G5" si="0">F4*E4</f>
        <v>0</v>
      </c>
    </row>
    <row r="5" spans="1:7" s="78" customFormat="1" x14ac:dyDescent="0.25">
      <c r="A5" s="79" t="s">
        <v>124</v>
      </c>
      <c r="B5" s="98" t="s">
        <v>125</v>
      </c>
      <c r="C5" s="99" t="s">
        <v>126</v>
      </c>
      <c r="D5" s="100" t="s">
        <v>121</v>
      </c>
      <c r="E5" s="114"/>
      <c r="F5" s="103">
        <v>1</v>
      </c>
      <c r="G5" s="101">
        <f t="shared" si="0"/>
        <v>0</v>
      </c>
    </row>
    <row r="6" spans="1:7" s="78" customFormat="1" x14ac:dyDescent="0.25">
      <c r="A6" s="71"/>
      <c r="B6" s="72"/>
      <c r="C6" s="73"/>
      <c r="D6" s="74"/>
      <c r="E6" s="80"/>
      <c r="F6" s="102"/>
      <c r="G6" s="77"/>
    </row>
    <row r="7" spans="1:7" s="2" customFormat="1" x14ac:dyDescent="0.25">
      <c r="A7" s="23"/>
      <c r="B7" s="24"/>
      <c r="C7" s="7"/>
      <c r="D7" s="8"/>
      <c r="E7" s="27"/>
      <c r="F7" s="28"/>
      <c r="G7" s="29"/>
    </row>
    <row r="8" spans="1:7" s="2" customFormat="1" x14ac:dyDescent="0.25">
      <c r="A8" s="23"/>
      <c r="B8" s="24"/>
      <c r="C8" s="7"/>
      <c r="D8" s="8"/>
      <c r="E8" s="27"/>
      <c r="F8" s="28"/>
      <c r="G8" s="29"/>
    </row>
    <row r="9" spans="1:7" s="2" customFormat="1" ht="16.5" thickBot="1" x14ac:dyDescent="0.3">
      <c r="A9" s="25"/>
      <c r="B9" s="26"/>
      <c r="C9" s="20"/>
      <c r="D9" s="21"/>
      <c r="E9" s="30"/>
      <c r="F9" s="31"/>
      <c r="G9" s="32"/>
    </row>
    <row r="10" spans="1: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workbookViewId="0">
      <pane ySplit="3" topLeftCell="A4" activePane="bottomLeft" state="frozen"/>
      <selection activeCell="D27" sqref="D27"/>
      <selection pane="bottomLeft" activeCell="L11" sqref="L11"/>
    </sheetView>
  </sheetViews>
  <sheetFormatPr defaultRowHeight="15.75" x14ac:dyDescent="0.25"/>
  <cols>
    <col min="1" max="1" width="7.5" style="1" bestFit="1" customWidth="1"/>
    <col min="2" max="2" width="10.375" style="1" customWidth="1"/>
    <col min="3" max="3" width="74" style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18</v>
      </c>
      <c r="B2" s="16"/>
      <c r="C2" s="17" t="s">
        <v>61</v>
      </c>
      <c r="D2" s="18"/>
      <c r="E2" s="18"/>
      <c r="F2" s="18"/>
      <c r="G2" s="19"/>
    </row>
    <row r="3" spans="1:7" s="2" customFormat="1" ht="16.5" thickBot="1" x14ac:dyDescent="0.3">
      <c r="A3" s="65"/>
      <c r="B3" s="66"/>
      <c r="C3" s="69" t="s">
        <v>23</v>
      </c>
      <c r="D3" s="67"/>
      <c r="E3" s="67"/>
      <c r="F3" s="67"/>
      <c r="G3" s="68">
        <f>SUM(G4:G17)</f>
        <v>0</v>
      </c>
    </row>
    <row r="4" spans="1:7" s="2" customFormat="1" ht="16.5" thickTop="1" x14ac:dyDescent="0.25">
      <c r="A4" s="59"/>
      <c r="B4" s="60"/>
      <c r="C4" s="7"/>
      <c r="D4" s="61"/>
      <c r="E4" s="62"/>
      <c r="F4" s="63"/>
      <c r="G4" s="64"/>
    </row>
    <row r="5" spans="1:7" s="78" customFormat="1" ht="31.5" x14ac:dyDescent="0.25">
      <c r="A5" s="71" t="s">
        <v>47</v>
      </c>
      <c r="B5" s="72" t="s">
        <v>127</v>
      </c>
      <c r="C5" s="73" t="s">
        <v>60</v>
      </c>
      <c r="D5" s="74" t="s">
        <v>59</v>
      </c>
      <c r="E5" s="111"/>
      <c r="F5" s="102">
        <v>38</v>
      </c>
      <c r="G5" s="77">
        <f t="shared" ref="G5:G11" si="0">F5*E5</f>
        <v>0</v>
      </c>
    </row>
    <row r="6" spans="1:7" s="78" customFormat="1" ht="47.25" x14ac:dyDescent="0.25">
      <c r="A6" s="71" t="s">
        <v>48</v>
      </c>
      <c r="B6" s="72" t="s">
        <v>128</v>
      </c>
      <c r="C6" s="73" t="s">
        <v>129</v>
      </c>
      <c r="D6" s="74" t="s">
        <v>130</v>
      </c>
      <c r="E6" s="111"/>
      <c r="F6" s="102">
        <v>1</v>
      </c>
      <c r="G6" s="77">
        <f t="shared" si="0"/>
        <v>0</v>
      </c>
    </row>
    <row r="7" spans="1:7" s="78" customFormat="1" x14ac:dyDescent="0.25">
      <c r="A7" s="71" t="s">
        <v>49</v>
      </c>
      <c r="B7" s="72"/>
      <c r="C7" s="73"/>
      <c r="D7" s="74"/>
      <c r="E7" s="80"/>
      <c r="F7" s="102"/>
      <c r="G7" s="77"/>
    </row>
    <row r="8" spans="1:7" s="78" customFormat="1" ht="31.5" x14ac:dyDescent="0.25">
      <c r="A8" s="71" t="s">
        <v>50</v>
      </c>
      <c r="B8" s="72" t="s">
        <v>131</v>
      </c>
      <c r="C8" s="73" t="s">
        <v>132</v>
      </c>
      <c r="D8" s="74" t="s">
        <v>3</v>
      </c>
      <c r="E8" s="111"/>
      <c r="F8" s="102">
        <v>1</v>
      </c>
      <c r="G8" s="77">
        <f t="shared" si="0"/>
        <v>0</v>
      </c>
    </row>
    <row r="9" spans="1:7" s="78" customFormat="1" x14ac:dyDescent="0.25">
      <c r="A9" s="71" t="s">
        <v>133</v>
      </c>
      <c r="B9" s="72"/>
      <c r="C9" s="73"/>
      <c r="D9" s="74"/>
      <c r="E9" s="80"/>
      <c r="F9" s="102"/>
      <c r="G9" s="77"/>
    </row>
    <row r="10" spans="1:7" s="78" customFormat="1" ht="31.5" x14ac:dyDescent="0.25">
      <c r="A10" s="71" t="s">
        <v>62</v>
      </c>
      <c r="B10" s="72" t="s">
        <v>134</v>
      </c>
      <c r="C10" s="73" t="s">
        <v>135</v>
      </c>
      <c r="D10" s="74" t="s">
        <v>3</v>
      </c>
      <c r="E10" s="111"/>
      <c r="F10" s="102">
        <v>1</v>
      </c>
      <c r="G10" s="77">
        <f t="shared" si="0"/>
        <v>0</v>
      </c>
    </row>
    <row r="11" spans="1:7" s="78" customFormat="1" ht="47.25" x14ac:dyDescent="0.25">
      <c r="A11" s="71" t="s">
        <v>136</v>
      </c>
      <c r="B11" s="72" t="s">
        <v>137</v>
      </c>
      <c r="C11" s="73" t="s">
        <v>138</v>
      </c>
      <c r="D11" s="74" t="s">
        <v>59</v>
      </c>
      <c r="E11" s="111"/>
      <c r="F11" s="102">
        <f>3*8</f>
        <v>24</v>
      </c>
      <c r="G11" s="77">
        <f t="shared" si="0"/>
        <v>0</v>
      </c>
    </row>
    <row r="12" spans="1:7" s="78" customFormat="1" ht="31.5" x14ac:dyDescent="0.25">
      <c r="A12" s="71" t="s">
        <v>161</v>
      </c>
      <c r="B12" s="72" t="s">
        <v>137</v>
      </c>
      <c r="C12" s="73" t="s">
        <v>162</v>
      </c>
      <c r="D12" s="74" t="s">
        <v>59</v>
      </c>
      <c r="E12" s="111"/>
      <c r="F12" s="102">
        <f>2*8</f>
        <v>16</v>
      </c>
      <c r="G12" s="77">
        <f t="shared" ref="G12:G15" si="1">F12*E12</f>
        <v>0</v>
      </c>
    </row>
    <row r="13" spans="1:7" s="78" customFormat="1" ht="31.5" x14ac:dyDescent="0.25">
      <c r="A13" s="23" t="s">
        <v>256</v>
      </c>
      <c r="B13" s="24" t="s">
        <v>257</v>
      </c>
      <c r="C13" s="7" t="s">
        <v>264</v>
      </c>
      <c r="D13" s="8" t="s">
        <v>255</v>
      </c>
      <c r="E13" s="111"/>
      <c r="F13" s="28">
        <v>1</v>
      </c>
      <c r="G13" s="29">
        <f t="shared" si="1"/>
        <v>0</v>
      </c>
    </row>
    <row r="14" spans="1:7" s="78" customFormat="1" ht="31.5" x14ac:dyDescent="0.25">
      <c r="A14" s="23" t="s">
        <v>253</v>
      </c>
      <c r="B14" s="24" t="s">
        <v>254</v>
      </c>
      <c r="C14" s="7" t="s">
        <v>258</v>
      </c>
      <c r="D14" s="8" t="s">
        <v>59</v>
      </c>
      <c r="E14" s="111"/>
      <c r="F14" s="28">
        <v>5</v>
      </c>
      <c r="G14" s="29">
        <f t="shared" si="1"/>
        <v>0</v>
      </c>
    </row>
    <row r="15" spans="1:7" s="78" customFormat="1" ht="47.25" x14ac:dyDescent="0.25">
      <c r="A15" s="23" t="s">
        <v>260</v>
      </c>
      <c r="B15" s="24" t="s">
        <v>259</v>
      </c>
      <c r="C15" s="7" t="s">
        <v>261</v>
      </c>
      <c r="D15" s="8" t="s">
        <v>130</v>
      </c>
      <c r="E15" s="111"/>
      <c r="F15" s="28">
        <v>1</v>
      </c>
      <c r="G15" s="29">
        <f t="shared" si="1"/>
        <v>0</v>
      </c>
    </row>
    <row r="16" spans="1:7" s="78" customFormat="1" ht="47.25" x14ac:dyDescent="0.25">
      <c r="A16" s="23" t="s">
        <v>260</v>
      </c>
      <c r="B16" s="24" t="s">
        <v>262</v>
      </c>
      <c r="C16" s="7" t="s">
        <v>263</v>
      </c>
      <c r="D16" s="8" t="s">
        <v>255</v>
      </c>
      <c r="E16" s="111"/>
      <c r="F16" s="28">
        <v>1</v>
      </c>
      <c r="G16" s="29">
        <f t="shared" ref="G16" si="2">F16*E16</f>
        <v>0</v>
      </c>
    </row>
    <row r="17" spans="1:7" s="78" customFormat="1" ht="16.5" thickBot="1" x14ac:dyDescent="0.3">
      <c r="A17" s="88"/>
      <c r="B17" s="89"/>
      <c r="C17" s="90"/>
      <c r="D17" s="91"/>
      <c r="E17" s="92"/>
      <c r="F17" s="93"/>
      <c r="G17" s="94"/>
    </row>
    <row r="18" spans="1:7" s="95" customFormat="1" ht="16.5" thickTop="1" x14ac:dyDescent="0.25">
      <c r="E18" s="96"/>
      <c r="F18" s="97"/>
      <c r="G18" s="96"/>
    </row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Rekapitulace</vt:lpstr>
      <vt:lpstr>1</vt:lpstr>
      <vt:lpstr>2</vt:lpstr>
      <vt:lpstr>3</vt:lpstr>
      <vt:lpstr>4</vt:lpstr>
      <vt:lpstr>5</vt:lpstr>
      <vt:lpstr>'1'!Názvy_tisku</vt:lpstr>
      <vt:lpstr>'2'!Názvy_tisku</vt:lpstr>
      <vt:lpstr>'3'!Názvy_tisku</vt:lpstr>
      <vt:lpstr>'4'!Názvy_tisku</vt:lpstr>
      <vt:lpstr>'5'!Názvy_tisku</vt:lpstr>
    </vt:vector>
  </TitlesOfParts>
  <Company>Helika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User</cp:lastModifiedBy>
  <cp:lastPrinted>2013-10-17T08:26:33Z</cp:lastPrinted>
  <dcterms:created xsi:type="dcterms:W3CDTF">2008-02-11T16:11:06Z</dcterms:created>
  <dcterms:modified xsi:type="dcterms:W3CDTF">2017-09-07T11:48:18Z</dcterms:modified>
</cp:coreProperties>
</file>