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630" activeTab="0"/>
  </bookViews>
  <sheets>
    <sheet name="město Třinec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623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  <comment ref="N5" authorId="0">
      <text>
        <r>
          <rPr>
            <b/>
            <sz val="9"/>
            <rFont val="Tahoma"/>
            <family val="2"/>
          </rPr>
          <t>doplňte cenu</t>
        </r>
      </text>
    </comment>
    <comment ref="N6" authorId="0">
      <text>
        <r>
          <rPr>
            <b/>
            <sz val="9"/>
            <rFont val="Tahoma"/>
            <family val="2"/>
          </rPr>
          <t>doplňte cenu</t>
        </r>
      </text>
    </comment>
    <comment ref="N7" authorId="0">
      <text>
        <r>
          <rPr>
            <b/>
            <sz val="9"/>
            <rFont val="Tahoma"/>
            <family val="2"/>
          </rPr>
          <t>doplňte cenu</t>
        </r>
      </text>
    </comment>
    <comment ref="N8" authorId="0">
      <text>
        <r>
          <rPr>
            <b/>
            <sz val="9"/>
            <rFont val="Tahoma"/>
            <family val="2"/>
          </rPr>
          <t>doplňte cenu</t>
        </r>
      </text>
    </comment>
    <comment ref="N9" authorId="0">
      <text>
        <r>
          <rPr>
            <b/>
            <sz val="9"/>
            <rFont val="Tahoma"/>
            <family val="2"/>
          </rPr>
          <t>doplňte cenu</t>
        </r>
      </text>
    </comment>
    <comment ref="N10" authorId="0">
      <text>
        <r>
          <rPr>
            <b/>
            <sz val="9"/>
            <rFont val="Tahoma"/>
            <family val="2"/>
          </rPr>
          <t>doplňte cenu</t>
        </r>
      </text>
    </comment>
    <comment ref="N11" authorId="0">
      <text>
        <r>
          <rPr>
            <b/>
            <sz val="9"/>
            <rFont val="Tahoma"/>
            <family val="2"/>
          </rPr>
          <t>doplňte cenu</t>
        </r>
      </text>
    </comment>
    <comment ref="N12" authorId="0">
      <text>
        <r>
          <rPr>
            <b/>
            <sz val="9"/>
            <rFont val="Tahoma"/>
            <family val="2"/>
          </rPr>
          <t>doplňte cenu</t>
        </r>
      </text>
    </comment>
    <comment ref="N13" authorId="0">
      <text>
        <r>
          <rPr>
            <b/>
            <sz val="9"/>
            <rFont val="Tahoma"/>
            <family val="2"/>
          </rPr>
          <t>doplňte cenu</t>
        </r>
      </text>
    </comment>
    <comment ref="N14" authorId="0">
      <text>
        <r>
          <rPr>
            <b/>
            <sz val="9"/>
            <rFont val="Tahoma"/>
            <family val="2"/>
          </rPr>
          <t>doplňte cenu</t>
        </r>
      </text>
    </comment>
    <comment ref="N15" authorId="0">
      <text>
        <r>
          <rPr>
            <b/>
            <sz val="9"/>
            <rFont val="Tahoma"/>
            <family val="2"/>
          </rPr>
          <t>doplňte cenu</t>
        </r>
      </text>
    </comment>
    <comment ref="N16" authorId="0">
      <text>
        <r>
          <rPr>
            <b/>
            <sz val="9"/>
            <rFont val="Tahoma"/>
            <family val="2"/>
          </rPr>
          <t>doplňte cenu</t>
        </r>
      </text>
    </comment>
    <comment ref="N17" authorId="0">
      <text>
        <r>
          <rPr>
            <b/>
            <sz val="9"/>
            <rFont val="Tahoma"/>
            <family val="2"/>
          </rPr>
          <t>doplňte cenu</t>
        </r>
      </text>
    </comment>
    <comment ref="N18" authorId="0">
      <text>
        <r>
          <rPr>
            <b/>
            <sz val="9"/>
            <rFont val="Tahoma"/>
            <family val="2"/>
          </rPr>
          <t>doplňte cenu</t>
        </r>
      </text>
    </comment>
    <comment ref="N19" authorId="0">
      <text>
        <r>
          <rPr>
            <b/>
            <sz val="9"/>
            <rFont val="Tahoma"/>
            <family val="2"/>
          </rPr>
          <t>doplňte cenu</t>
        </r>
      </text>
    </comment>
    <comment ref="N20" authorId="0">
      <text>
        <r>
          <rPr>
            <b/>
            <sz val="9"/>
            <rFont val="Tahoma"/>
            <family val="2"/>
          </rPr>
          <t>doplňte cenu</t>
        </r>
      </text>
    </comment>
    <comment ref="N21" authorId="0">
      <text>
        <r>
          <rPr>
            <b/>
            <sz val="9"/>
            <rFont val="Tahoma"/>
            <family val="2"/>
          </rPr>
          <t>doplňte cenu</t>
        </r>
      </text>
    </comment>
    <comment ref="N22" authorId="0">
      <text>
        <r>
          <rPr>
            <b/>
            <sz val="9"/>
            <rFont val="Tahoma"/>
            <family val="2"/>
          </rPr>
          <t>doplňte cenu</t>
        </r>
      </text>
    </comment>
    <comment ref="N23" authorId="0">
      <text>
        <r>
          <rPr>
            <b/>
            <sz val="9"/>
            <rFont val="Tahoma"/>
            <family val="2"/>
          </rPr>
          <t>doplňte cenu</t>
        </r>
      </text>
    </comment>
    <comment ref="N24" authorId="0">
      <text>
        <r>
          <rPr>
            <b/>
            <sz val="9"/>
            <rFont val="Tahoma"/>
            <family val="2"/>
          </rPr>
          <t>doplňte cenu</t>
        </r>
      </text>
    </comment>
    <comment ref="N25" authorId="0">
      <text>
        <r>
          <rPr>
            <b/>
            <sz val="9"/>
            <rFont val="Tahoma"/>
            <family val="2"/>
          </rPr>
          <t>doplňte cenu</t>
        </r>
      </text>
    </comment>
    <comment ref="N26" authorId="0">
      <text>
        <r>
          <rPr>
            <b/>
            <sz val="9"/>
            <rFont val="Tahoma"/>
            <family val="2"/>
          </rPr>
          <t>doplňte cenu</t>
        </r>
      </text>
    </comment>
    <comment ref="N27" authorId="0">
      <text>
        <r>
          <rPr>
            <b/>
            <sz val="9"/>
            <rFont val="Tahoma"/>
            <family val="2"/>
          </rPr>
          <t>doplňte cenu</t>
        </r>
      </text>
    </comment>
    <comment ref="N28" authorId="0">
      <text>
        <r>
          <rPr>
            <b/>
            <sz val="9"/>
            <rFont val="Tahoma"/>
            <family val="2"/>
          </rPr>
          <t>doplňte cenu</t>
        </r>
      </text>
    </comment>
    <comment ref="N29" authorId="0">
      <text>
        <r>
          <rPr>
            <b/>
            <sz val="9"/>
            <rFont val="Tahoma"/>
            <family val="2"/>
          </rPr>
          <t>doplňte cenu</t>
        </r>
      </text>
    </comment>
    <comment ref="N30" authorId="0">
      <text>
        <r>
          <rPr>
            <b/>
            <sz val="9"/>
            <rFont val="Tahoma"/>
            <family val="2"/>
          </rPr>
          <t>doplňte cenu</t>
        </r>
      </text>
    </comment>
    <comment ref="N31" authorId="0">
      <text>
        <r>
          <rPr>
            <b/>
            <sz val="9"/>
            <rFont val="Tahoma"/>
            <family val="2"/>
          </rPr>
          <t>doplňte cenu</t>
        </r>
      </text>
    </comment>
    <comment ref="N32" authorId="0">
      <text>
        <r>
          <rPr>
            <b/>
            <sz val="9"/>
            <rFont val="Tahoma"/>
            <family val="2"/>
          </rPr>
          <t>doplňte cenu</t>
        </r>
      </text>
    </comment>
    <comment ref="N33" authorId="0">
      <text>
        <r>
          <rPr>
            <b/>
            <sz val="9"/>
            <rFont val="Tahoma"/>
            <family val="2"/>
          </rPr>
          <t>doplňte cenu</t>
        </r>
      </text>
    </comment>
    <comment ref="N34" authorId="0">
      <text>
        <r>
          <rPr>
            <b/>
            <sz val="9"/>
            <rFont val="Tahoma"/>
            <family val="2"/>
          </rPr>
          <t>doplňte cenu</t>
        </r>
      </text>
    </comment>
    <comment ref="N35" authorId="0">
      <text>
        <r>
          <rPr>
            <b/>
            <sz val="9"/>
            <rFont val="Tahoma"/>
            <family val="2"/>
          </rPr>
          <t>doplňte cenu</t>
        </r>
      </text>
    </comment>
    <comment ref="N36" authorId="0">
      <text>
        <r>
          <rPr>
            <b/>
            <sz val="9"/>
            <rFont val="Tahoma"/>
            <family val="2"/>
          </rPr>
          <t>doplňte cenu</t>
        </r>
      </text>
    </comment>
    <comment ref="N37" authorId="0">
      <text>
        <r>
          <rPr>
            <b/>
            <sz val="9"/>
            <rFont val="Tahoma"/>
            <family val="2"/>
          </rPr>
          <t>doplňte cenu</t>
        </r>
      </text>
    </comment>
    <comment ref="N38" authorId="0">
      <text>
        <r>
          <rPr>
            <b/>
            <sz val="9"/>
            <rFont val="Tahoma"/>
            <family val="2"/>
          </rPr>
          <t>doplňte cenu</t>
        </r>
      </text>
    </comment>
    <comment ref="N39" authorId="0">
      <text>
        <r>
          <rPr>
            <b/>
            <sz val="9"/>
            <rFont val="Tahoma"/>
            <family val="2"/>
          </rPr>
          <t>doplňte cenu</t>
        </r>
      </text>
    </comment>
    <comment ref="N40" authorId="0">
      <text>
        <r>
          <rPr>
            <b/>
            <sz val="9"/>
            <rFont val="Tahoma"/>
            <family val="2"/>
          </rPr>
          <t>doplňte cenu</t>
        </r>
      </text>
    </comment>
    <comment ref="N41" authorId="0">
      <text>
        <r>
          <rPr>
            <b/>
            <sz val="9"/>
            <rFont val="Tahoma"/>
            <family val="2"/>
          </rPr>
          <t>doplňte cenu</t>
        </r>
      </text>
    </comment>
    <comment ref="N42" authorId="0">
      <text>
        <r>
          <rPr>
            <b/>
            <sz val="9"/>
            <rFont val="Tahoma"/>
            <family val="2"/>
          </rPr>
          <t>doplňte cenu</t>
        </r>
      </text>
    </comment>
    <comment ref="N43" authorId="0">
      <text>
        <r>
          <rPr>
            <b/>
            <sz val="9"/>
            <rFont val="Tahoma"/>
            <family val="2"/>
          </rPr>
          <t>doplňte cenu</t>
        </r>
      </text>
    </comment>
    <comment ref="N44" authorId="0">
      <text>
        <r>
          <rPr>
            <b/>
            <sz val="9"/>
            <rFont val="Tahoma"/>
            <family val="2"/>
          </rPr>
          <t>doplňte cenu</t>
        </r>
      </text>
    </comment>
    <comment ref="N45" authorId="0">
      <text>
        <r>
          <rPr>
            <b/>
            <sz val="9"/>
            <rFont val="Tahoma"/>
            <family val="2"/>
          </rPr>
          <t>doplňte cenu</t>
        </r>
      </text>
    </comment>
    <comment ref="N46" authorId="0">
      <text>
        <r>
          <rPr>
            <b/>
            <sz val="9"/>
            <rFont val="Tahoma"/>
            <family val="2"/>
          </rPr>
          <t>doplňte cenu</t>
        </r>
      </text>
    </comment>
    <comment ref="N47" authorId="0">
      <text>
        <r>
          <rPr>
            <b/>
            <sz val="9"/>
            <rFont val="Tahoma"/>
            <family val="2"/>
          </rPr>
          <t>doplňte cenu</t>
        </r>
      </text>
    </comment>
    <comment ref="N48" authorId="0">
      <text>
        <r>
          <rPr>
            <b/>
            <sz val="9"/>
            <rFont val="Tahoma"/>
            <family val="2"/>
          </rPr>
          <t>doplňte cenu</t>
        </r>
      </text>
    </comment>
    <comment ref="N49" authorId="0">
      <text>
        <r>
          <rPr>
            <b/>
            <sz val="9"/>
            <rFont val="Tahoma"/>
            <family val="2"/>
          </rPr>
          <t>doplňte cenu</t>
        </r>
      </text>
    </comment>
    <comment ref="N50" authorId="0">
      <text>
        <r>
          <rPr>
            <b/>
            <sz val="9"/>
            <rFont val="Tahoma"/>
            <family val="2"/>
          </rPr>
          <t>doplňte cenu</t>
        </r>
      </text>
    </comment>
    <comment ref="N51" authorId="0">
      <text>
        <r>
          <rPr>
            <b/>
            <sz val="9"/>
            <rFont val="Tahoma"/>
            <family val="2"/>
          </rPr>
          <t>doplňte cenu</t>
        </r>
      </text>
    </comment>
    <comment ref="N52" authorId="0">
      <text>
        <r>
          <rPr>
            <b/>
            <sz val="9"/>
            <rFont val="Tahoma"/>
            <family val="2"/>
          </rPr>
          <t>doplňte cenu</t>
        </r>
      </text>
    </comment>
    <comment ref="N53" authorId="0">
      <text>
        <r>
          <rPr>
            <b/>
            <sz val="9"/>
            <rFont val="Tahoma"/>
            <family val="2"/>
          </rPr>
          <t>doplňte cenu</t>
        </r>
      </text>
    </comment>
    <comment ref="N54" authorId="0">
      <text>
        <r>
          <rPr>
            <b/>
            <sz val="9"/>
            <rFont val="Tahoma"/>
            <family val="2"/>
          </rPr>
          <t>doplňte cenu</t>
        </r>
      </text>
    </comment>
    <comment ref="N55" authorId="0">
      <text>
        <r>
          <rPr>
            <b/>
            <sz val="9"/>
            <rFont val="Tahoma"/>
            <family val="2"/>
          </rPr>
          <t>doplňte cenu</t>
        </r>
      </text>
    </comment>
    <comment ref="N56" authorId="0">
      <text>
        <r>
          <rPr>
            <b/>
            <sz val="9"/>
            <rFont val="Tahoma"/>
            <family val="2"/>
          </rPr>
          <t>doplňte cenu</t>
        </r>
      </text>
    </comment>
    <comment ref="N57" authorId="0">
      <text>
        <r>
          <rPr>
            <b/>
            <sz val="9"/>
            <rFont val="Tahoma"/>
            <family val="2"/>
          </rPr>
          <t>doplňte cenu</t>
        </r>
      </text>
    </comment>
    <comment ref="N58" authorId="0">
      <text>
        <r>
          <rPr>
            <b/>
            <sz val="9"/>
            <rFont val="Tahoma"/>
            <family val="2"/>
          </rPr>
          <t>doplňte cenu</t>
        </r>
      </text>
    </comment>
    <comment ref="N59" authorId="0">
      <text>
        <r>
          <rPr>
            <b/>
            <sz val="9"/>
            <rFont val="Tahoma"/>
            <family val="2"/>
          </rPr>
          <t>doplňte cenu</t>
        </r>
      </text>
    </comment>
    <comment ref="N60" authorId="0">
      <text>
        <r>
          <rPr>
            <b/>
            <sz val="9"/>
            <rFont val="Tahoma"/>
            <family val="2"/>
          </rPr>
          <t>doplňte cenu</t>
        </r>
      </text>
    </comment>
    <comment ref="N61" authorId="0">
      <text>
        <r>
          <rPr>
            <b/>
            <sz val="9"/>
            <rFont val="Tahoma"/>
            <family val="2"/>
          </rPr>
          <t>doplňte cenu</t>
        </r>
      </text>
    </comment>
    <comment ref="N62" authorId="0">
      <text>
        <r>
          <rPr>
            <b/>
            <sz val="9"/>
            <rFont val="Tahoma"/>
            <family val="2"/>
          </rPr>
          <t>doplňte cenu</t>
        </r>
      </text>
    </comment>
    <comment ref="N63" authorId="0">
      <text>
        <r>
          <rPr>
            <b/>
            <sz val="9"/>
            <rFont val="Tahoma"/>
            <family val="2"/>
          </rPr>
          <t>doplňte cenu</t>
        </r>
      </text>
    </comment>
    <comment ref="N64" authorId="0">
      <text>
        <r>
          <rPr>
            <b/>
            <sz val="9"/>
            <rFont val="Tahoma"/>
            <family val="2"/>
          </rPr>
          <t>doplňte cenu</t>
        </r>
      </text>
    </comment>
    <comment ref="N65" authorId="0">
      <text>
        <r>
          <rPr>
            <b/>
            <sz val="9"/>
            <rFont val="Tahoma"/>
            <family val="2"/>
          </rPr>
          <t>doplňte cenu</t>
        </r>
      </text>
    </comment>
    <comment ref="N66" authorId="0">
      <text>
        <r>
          <rPr>
            <b/>
            <sz val="9"/>
            <rFont val="Tahoma"/>
            <family val="2"/>
          </rPr>
          <t>doplňte cenu</t>
        </r>
      </text>
    </comment>
    <comment ref="N67" authorId="0">
      <text>
        <r>
          <rPr>
            <b/>
            <sz val="9"/>
            <rFont val="Tahoma"/>
            <family val="2"/>
          </rPr>
          <t>doplňte cenu</t>
        </r>
      </text>
    </comment>
    <comment ref="N68" authorId="0">
      <text>
        <r>
          <rPr>
            <b/>
            <sz val="9"/>
            <rFont val="Tahoma"/>
            <family val="2"/>
          </rPr>
          <t>doplňte cenu</t>
        </r>
      </text>
    </comment>
    <comment ref="N69" authorId="0">
      <text>
        <r>
          <rPr>
            <b/>
            <sz val="9"/>
            <rFont val="Tahoma"/>
            <family val="2"/>
          </rPr>
          <t>doplňte cenu</t>
        </r>
      </text>
    </comment>
    <comment ref="N70" authorId="0">
      <text>
        <r>
          <rPr>
            <b/>
            <sz val="9"/>
            <rFont val="Tahoma"/>
            <family val="2"/>
          </rPr>
          <t>doplňte cenu</t>
        </r>
      </text>
    </comment>
    <comment ref="N71" authorId="0">
      <text>
        <r>
          <rPr>
            <b/>
            <sz val="9"/>
            <rFont val="Tahoma"/>
            <family val="2"/>
          </rPr>
          <t>doplňte cenu</t>
        </r>
      </text>
    </comment>
    <comment ref="N72" authorId="0">
      <text>
        <r>
          <rPr>
            <b/>
            <sz val="9"/>
            <rFont val="Tahoma"/>
            <family val="2"/>
          </rPr>
          <t>doplňte cenu</t>
        </r>
      </text>
    </comment>
    <comment ref="N73" authorId="0">
      <text>
        <r>
          <rPr>
            <b/>
            <sz val="9"/>
            <rFont val="Tahoma"/>
            <family val="2"/>
          </rPr>
          <t>doplňte cenu</t>
        </r>
      </text>
    </comment>
    <comment ref="N74" authorId="0">
      <text>
        <r>
          <rPr>
            <b/>
            <sz val="9"/>
            <rFont val="Tahoma"/>
            <family val="2"/>
          </rPr>
          <t>doplňte cenu</t>
        </r>
      </text>
    </comment>
    <comment ref="N75" authorId="0">
      <text>
        <r>
          <rPr>
            <b/>
            <sz val="9"/>
            <rFont val="Tahoma"/>
            <family val="2"/>
          </rPr>
          <t>doplňte cenu</t>
        </r>
      </text>
    </comment>
    <comment ref="N76" authorId="0">
      <text>
        <r>
          <rPr>
            <b/>
            <sz val="9"/>
            <rFont val="Tahoma"/>
            <family val="2"/>
          </rPr>
          <t>doplňte cenu</t>
        </r>
      </text>
    </comment>
    <comment ref="N77" authorId="0">
      <text>
        <r>
          <rPr>
            <b/>
            <sz val="9"/>
            <rFont val="Tahoma"/>
            <family val="2"/>
          </rPr>
          <t>doplňte cenu</t>
        </r>
      </text>
    </comment>
    <comment ref="N78" authorId="0">
      <text>
        <r>
          <rPr>
            <b/>
            <sz val="9"/>
            <rFont val="Tahoma"/>
            <family val="2"/>
          </rPr>
          <t>doplňte cenu</t>
        </r>
      </text>
    </comment>
    <comment ref="N79" authorId="0">
      <text>
        <r>
          <rPr>
            <b/>
            <sz val="9"/>
            <rFont val="Tahoma"/>
            <family val="2"/>
          </rPr>
          <t>doplňte cenu</t>
        </r>
      </text>
    </comment>
    <comment ref="N80" authorId="0">
      <text>
        <r>
          <rPr>
            <b/>
            <sz val="9"/>
            <rFont val="Tahoma"/>
            <family val="2"/>
          </rPr>
          <t>doplňte cenu</t>
        </r>
      </text>
    </comment>
    <comment ref="N81" authorId="0">
      <text>
        <r>
          <rPr>
            <b/>
            <sz val="9"/>
            <rFont val="Tahoma"/>
            <family val="2"/>
          </rPr>
          <t>doplňte cenu</t>
        </r>
      </text>
    </comment>
    <comment ref="N82" authorId="0">
      <text>
        <r>
          <rPr>
            <b/>
            <sz val="9"/>
            <rFont val="Tahoma"/>
            <family val="2"/>
          </rPr>
          <t>doplňte cenu</t>
        </r>
      </text>
    </comment>
    <comment ref="N83" authorId="0">
      <text>
        <r>
          <rPr>
            <b/>
            <sz val="9"/>
            <rFont val="Tahoma"/>
            <family val="2"/>
          </rPr>
          <t>doplňte cenu</t>
        </r>
      </text>
    </comment>
    <comment ref="N84" authorId="0">
      <text>
        <r>
          <rPr>
            <b/>
            <sz val="9"/>
            <rFont val="Tahoma"/>
            <family val="2"/>
          </rPr>
          <t>doplňte cenu</t>
        </r>
      </text>
    </comment>
    <comment ref="N85" authorId="0">
      <text>
        <r>
          <rPr>
            <b/>
            <sz val="9"/>
            <rFont val="Tahoma"/>
            <family val="2"/>
          </rPr>
          <t>doplňte cenu</t>
        </r>
      </text>
    </comment>
    <comment ref="N86" authorId="0">
      <text>
        <r>
          <rPr>
            <b/>
            <sz val="9"/>
            <rFont val="Tahoma"/>
            <family val="2"/>
          </rPr>
          <t>doplňte cenu</t>
        </r>
      </text>
    </comment>
    <comment ref="N87" authorId="0">
      <text>
        <r>
          <rPr>
            <b/>
            <sz val="9"/>
            <rFont val="Tahoma"/>
            <family val="2"/>
          </rPr>
          <t>doplňte cenu</t>
        </r>
      </text>
    </comment>
    <comment ref="N88" authorId="0">
      <text>
        <r>
          <rPr>
            <b/>
            <sz val="9"/>
            <rFont val="Tahoma"/>
            <family val="2"/>
          </rPr>
          <t>doplňte cenu</t>
        </r>
      </text>
    </comment>
    <comment ref="N89" authorId="0">
      <text>
        <r>
          <rPr>
            <b/>
            <sz val="9"/>
            <rFont val="Tahoma"/>
            <family val="2"/>
          </rPr>
          <t>doplňte cenu</t>
        </r>
      </text>
    </comment>
    <comment ref="N90" authorId="0">
      <text>
        <r>
          <rPr>
            <b/>
            <sz val="9"/>
            <rFont val="Tahoma"/>
            <family val="2"/>
          </rPr>
          <t>doplňte cenu</t>
        </r>
      </text>
    </comment>
    <comment ref="N91" authorId="0">
      <text>
        <r>
          <rPr>
            <b/>
            <sz val="9"/>
            <rFont val="Tahoma"/>
            <family val="2"/>
          </rPr>
          <t>doplňte cenu</t>
        </r>
      </text>
    </comment>
    <comment ref="N92" authorId="0">
      <text>
        <r>
          <rPr>
            <b/>
            <sz val="9"/>
            <rFont val="Tahoma"/>
            <family val="2"/>
          </rPr>
          <t>doplňte cenu</t>
        </r>
      </text>
    </comment>
    <comment ref="N93" authorId="0">
      <text>
        <r>
          <rPr>
            <b/>
            <sz val="9"/>
            <rFont val="Tahoma"/>
            <family val="2"/>
          </rPr>
          <t>doplňte cenu</t>
        </r>
      </text>
    </comment>
    <comment ref="N94" authorId="0">
      <text>
        <r>
          <rPr>
            <b/>
            <sz val="9"/>
            <rFont val="Tahoma"/>
            <family val="2"/>
          </rPr>
          <t>doplňte cenu</t>
        </r>
      </text>
    </comment>
    <comment ref="N95" authorId="0">
      <text>
        <r>
          <rPr>
            <b/>
            <sz val="9"/>
            <rFont val="Tahoma"/>
            <family val="2"/>
          </rPr>
          <t>doplňte cenu</t>
        </r>
      </text>
    </comment>
    <comment ref="N96" authorId="0">
      <text>
        <r>
          <rPr>
            <b/>
            <sz val="9"/>
            <rFont val="Tahoma"/>
            <family val="2"/>
          </rPr>
          <t>doplňte cenu</t>
        </r>
      </text>
    </comment>
    <comment ref="N97" authorId="0">
      <text>
        <r>
          <rPr>
            <b/>
            <sz val="9"/>
            <rFont val="Tahoma"/>
            <family val="2"/>
          </rPr>
          <t>doplňte cenu</t>
        </r>
      </text>
    </comment>
    <comment ref="N98" authorId="0">
      <text>
        <r>
          <rPr>
            <b/>
            <sz val="9"/>
            <rFont val="Tahoma"/>
            <family val="2"/>
          </rPr>
          <t>doplňte cenu</t>
        </r>
      </text>
    </comment>
    <comment ref="N99" authorId="0">
      <text>
        <r>
          <rPr>
            <b/>
            <sz val="9"/>
            <rFont val="Tahoma"/>
            <family val="2"/>
          </rPr>
          <t>doplňte cenu</t>
        </r>
      </text>
    </comment>
    <comment ref="N100" authorId="0">
      <text>
        <r>
          <rPr>
            <b/>
            <sz val="9"/>
            <rFont val="Tahoma"/>
            <family val="2"/>
          </rPr>
          <t>doplňte cenu</t>
        </r>
      </text>
    </comment>
    <comment ref="N101" authorId="0">
      <text>
        <r>
          <rPr>
            <b/>
            <sz val="9"/>
            <rFont val="Tahoma"/>
            <family val="2"/>
          </rPr>
          <t>doplňte cenu</t>
        </r>
      </text>
    </comment>
    <comment ref="N102" authorId="0">
      <text>
        <r>
          <rPr>
            <b/>
            <sz val="9"/>
            <rFont val="Tahoma"/>
            <family val="2"/>
          </rPr>
          <t>doplňte cenu</t>
        </r>
      </text>
    </comment>
    <comment ref="N103" authorId="0">
      <text>
        <r>
          <rPr>
            <b/>
            <sz val="9"/>
            <rFont val="Tahoma"/>
            <family val="2"/>
          </rPr>
          <t>doplňte cenu</t>
        </r>
      </text>
    </comment>
    <comment ref="N104" authorId="0">
      <text>
        <r>
          <rPr>
            <b/>
            <sz val="9"/>
            <rFont val="Tahoma"/>
            <family val="2"/>
          </rPr>
          <t>doplňte cenu</t>
        </r>
      </text>
    </comment>
    <comment ref="N105" authorId="0">
      <text>
        <r>
          <rPr>
            <b/>
            <sz val="9"/>
            <rFont val="Tahoma"/>
            <family val="2"/>
          </rPr>
          <t>doplňte cenu</t>
        </r>
      </text>
    </comment>
    <comment ref="N106" authorId="0">
      <text>
        <r>
          <rPr>
            <b/>
            <sz val="9"/>
            <rFont val="Tahoma"/>
            <family val="2"/>
          </rPr>
          <t>doplňte cenu</t>
        </r>
      </text>
    </comment>
    <comment ref="N107" authorId="0">
      <text>
        <r>
          <rPr>
            <b/>
            <sz val="9"/>
            <rFont val="Tahoma"/>
            <family val="2"/>
          </rPr>
          <t>doplňte cenu</t>
        </r>
      </text>
    </comment>
    <comment ref="N108" authorId="0">
      <text>
        <r>
          <rPr>
            <b/>
            <sz val="9"/>
            <rFont val="Tahoma"/>
            <family val="2"/>
          </rPr>
          <t>doplňte cenu</t>
        </r>
      </text>
    </comment>
    <comment ref="N109" authorId="0">
      <text>
        <r>
          <rPr>
            <b/>
            <sz val="9"/>
            <rFont val="Tahoma"/>
            <family val="2"/>
          </rPr>
          <t>doplňte cenu</t>
        </r>
      </text>
    </comment>
    <comment ref="N110" authorId="0">
      <text>
        <r>
          <rPr>
            <b/>
            <sz val="9"/>
            <rFont val="Tahoma"/>
            <family val="2"/>
          </rPr>
          <t>doplňte cenu</t>
        </r>
      </text>
    </comment>
    <comment ref="N111" authorId="0">
      <text>
        <r>
          <rPr>
            <b/>
            <sz val="9"/>
            <rFont val="Tahoma"/>
            <family val="2"/>
          </rPr>
          <t>doplňte cenu</t>
        </r>
      </text>
    </comment>
    <comment ref="N112" authorId="0">
      <text>
        <r>
          <rPr>
            <b/>
            <sz val="9"/>
            <rFont val="Tahoma"/>
            <family val="2"/>
          </rPr>
          <t>doplňte cenu</t>
        </r>
      </text>
    </comment>
    <comment ref="N113" authorId="0">
      <text>
        <r>
          <rPr>
            <b/>
            <sz val="9"/>
            <rFont val="Tahoma"/>
            <family val="2"/>
          </rPr>
          <t>doplňte cenu</t>
        </r>
      </text>
    </comment>
    <comment ref="N114" authorId="0">
      <text>
        <r>
          <rPr>
            <b/>
            <sz val="9"/>
            <rFont val="Tahoma"/>
            <family val="2"/>
          </rPr>
          <t>doplňte cenu</t>
        </r>
      </text>
    </comment>
    <comment ref="N115" authorId="0">
      <text>
        <r>
          <rPr>
            <b/>
            <sz val="9"/>
            <rFont val="Tahoma"/>
            <family val="2"/>
          </rPr>
          <t>doplňte cenu</t>
        </r>
      </text>
    </comment>
    <comment ref="N116" authorId="0">
      <text>
        <r>
          <rPr>
            <b/>
            <sz val="9"/>
            <rFont val="Tahoma"/>
            <family val="2"/>
          </rPr>
          <t>doplňte cenu</t>
        </r>
      </text>
    </comment>
    <comment ref="N117" authorId="0">
      <text>
        <r>
          <rPr>
            <b/>
            <sz val="9"/>
            <rFont val="Tahoma"/>
            <family val="2"/>
          </rPr>
          <t>doplňte cenu</t>
        </r>
      </text>
    </comment>
    <comment ref="N118" authorId="0">
      <text>
        <r>
          <rPr>
            <b/>
            <sz val="9"/>
            <rFont val="Tahoma"/>
            <family val="2"/>
          </rPr>
          <t>doplňte cenu</t>
        </r>
      </text>
    </comment>
    <comment ref="N119" authorId="0">
      <text>
        <r>
          <rPr>
            <b/>
            <sz val="9"/>
            <rFont val="Tahoma"/>
            <family val="2"/>
          </rPr>
          <t>doplňte cenu</t>
        </r>
      </text>
    </comment>
    <comment ref="N120" authorId="0">
      <text>
        <r>
          <rPr>
            <b/>
            <sz val="9"/>
            <rFont val="Tahoma"/>
            <family val="2"/>
          </rPr>
          <t>doplňte cenu</t>
        </r>
      </text>
    </comment>
    <comment ref="N121" authorId="0">
      <text>
        <r>
          <rPr>
            <b/>
            <sz val="9"/>
            <rFont val="Tahoma"/>
            <family val="2"/>
          </rPr>
          <t>doplňte cenu</t>
        </r>
      </text>
    </comment>
    <comment ref="N122" authorId="0">
      <text>
        <r>
          <rPr>
            <b/>
            <sz val="9"/>
            <rFont val="Tahoma"/>
            <family val="2"/>
          </rPr>
          <t>doplňte cenu</t>
        </r>
      </text>
    </comment>
    <comment ref="N123" authorId="0">
      <text>
        <r>
          <rPr>
            <b/>
            <sz val="9"/>
            <rFont val="Tahoma"/>
            <family val="2"/>
          </rPr>
          <t>doplňte cenu</t>
        </r>
      </text>
    </comment>
    <comment ref="N124" authorId="0">
      <text>
        <r>
          <rPr>
            <b/>
            <sz val="9"/>
            <rFont val="Tahoma"/>
            <family val="2"/>
          </rPr>
          <t>doplňte cenu</t>
        </r>
      </text>
    </comment>
    <comment ref="N125" authorId="0">
      <text>
        <r>
          <rPr>
            <b/>
            <sz val="9"/>
            <rFont val="Tahoma"/>
            <family val="2"/>
          </rPr>
          <t>doplňte cenu</t>
        </r>
      </text>
    </comment>
    <comment ref="N126" authorId="0">
      <text>
        <r>
          <rPr>
            <b/>
            <sz val="9"/>
            <rFont val="Tahoma"/>
            <family val="2"/>
          </rPr>
          <t>doplňte cenu</t>
        </r>
      </text>
    </comment>
    <comment ref="N127" authorId="0">
      <text>
        <r>
          <rPr>
            <b/>
            <sz val="9"/>
            <rFont val="Tahoma"/>
            <family val="2"/>
          </rPr>
          <t>doplňte cenu</t>
        </r>
      </text>
    </comment>
    <comment ref="N128" authorId="0">
      <text>
        <r>
          <rPr>
            <b/>
            <sz val="9"/>
            <rFont val="Tahoma"/>
            <family val="2"/>
          </rPr>
          <t>doplňte cenu</t>
        </r>
      </text>
    </comment>
    <comment ref="N129" authorId="0">
      <text>
        <r>
          <rPr>
            <b/>
            <sz val="9"/>
            <rFont val="Tahoma"/>
            <family val="2"/>
          </rPr>
          <t>doplňte cenu</t>
        </r>
      </text>
    </comment>
    <comment ref="N130" authorId="0">
      <text>
        <r>
          <rPr>
            <b/>
            <sz val="9"/>
            <rFont val="Tahoma"/>
            <family val="2"/>
          </rPr>
          <t>doplňte cenu</t>
        </r>
      </text>
    </comment>
    <comment ref="N131" authorId="0">
      <text>
        <r>
          <rPr>
            <b/>
            <sz val="9"/>
            <rFont val="Tahoma"/>
            <family val="2"/>
          </rPr>
          <t>doplňte cenu</t>
        </r>
      </text>
    </comment>
    <comment ref="N132" authorId="0">
      <text>
        <r>
          <rPr>
            <b/>
            <sz val="9"/>
            <rFont val="Tahoma"/>
            <family val="2"/>
          </rPr>
          <t>doplňte cenu</t>
        </r>
      </text>
    </comment>
    <comment ref="N133" authorId="0">
      <text>
        <r>
          <rPr>
            <b/>
            <sz val="9"/>
            <rFont val="Tahoma"/>
            <family val="2"/>
          </rPr>
          <t>doplňte cenu</t>
        </r>
      </text>
    </comment>
    <comment ref="N134" authorId="0">
      <text>
        <r>
          <rPr>
            <b/>
            <sz val="9"/>
            <rFont val="Tahoma"/>
            <family val="2"/>
          </rPr>
          <t>doplňte cenu</t>
        </r>
      </text>
    </comment>
    <comment ref="N135" authorId="0">
      <text>
        <r>
          <rPr>
            <b/>
            <sz val="9"/>
            <rFont val="Tahoma"/>
            <family val="2"/>
          </rPr>
          <t>doplňte cenu</t>
        </r>
      </text>
    </comment>
    <comment ref="N136" authorId="0">
      <text>
        <r>
          <rPr>
            <b/>
            <sz val="9"/>
            <rFont val="Tahoma"/>
            <family val="2"/>
          </rPr>
          <t>doplňte cenu</t>
        </r>
      </text>
    </comment>
    <comment ref="N137" authorId="0">
      <text>
        <r>
          <rPr>
            <b/>
            <sz val="9"/>
            <rFont val="Tahoma"/>
            <family val="2"/>
          </rPr>
          <t>doplňte cenu</t>
        </r>
      </text>
    </comment>
    <comment ref="N138" authorId="0">
      <text>
        <r>
          <rPr>
            <b/>
            <sz val="9"/>
            <rFont val="Tahoma"/>
            <family val="2"/>
          </rPr>
          <t>doplňte cenu</t>
        </r>
      </text>
    </comment>
    <comment ref="N139" authorId="0">
      <text>
        <r>
          <rPr>
            <b/>
            <sz val="9"/>
            <rFont val="Tahoma"/>
            <family val="2"/>
          </rPr>
          <t>doplňte cenu</t>
        </r>
      </text>
    </comment>
    <comment ref="N140" authorId="0">
      <text>
        <r>
          <rPr>
            <b/>
            <sz val="9"/>
            <rFont val="Tahoma"/>
            <family val="2"/>
          </rPr>
          <t>doplňte cenu</t>
        </r>
      </text>
    </comment>
    <comment ref="N141" authorId="0">
      <text>
        <r>
          <rPr>
            <b/>
            <sz val="9"/>
            <rFont val="Tahoma"/>
            <family val="2"/>
          </rPr>
          <t>doplňte cenu</t>
        </r>
      </text>
    </comment>
    <comment ref="N142" authorId="0">
      <text>
        <r>
          <rPr>
            <b/>
            <sz val="9"/>
            <rFont val="Tahoma"/>
            <family val="2"/>
          </rPr>
          <t>doplňte cenu</t>
        </r>
      </text>
    </comment>
    <comment ref="N143" authorId="0">
      <text>
        <r>
          <rPr>
            <b/>
            <sz val="9"/>
            <rFont val="Tahoma"/>
            <family val="2"/>
          </rPr>
          <t>doplňte cenu</t>
        </r>
      </text>
    </comment>
    <comment ref="N144" authorId="0">
      <text>
        <r>
          <rPr>
            <b/>
            <sz val="9"/>
            <rFont val="Tahoma"/>
            <family val="2"/>
          </rPr>
          <t>doplňte cenu</t>
        </r>
      </text>
    </comment>
    <comment ref="N145" authorId="0">
      <text>
        <r>
          <rPr>
            <b/>
            <sz val="9"/>
            <rFont val="Tahoma"/>
            <family val="2"/>
          </rPr>
          <t>doplňte cenu</t>
        </r>
      </text>
    </comment>
    <comment ref="N146" authorId="0">
      <text>
        <r>
          <rPr>
            <b/>
            <sz val="9"/>
            <rFont val="Tahoma"/>
            <family val="2"/>
          </rPr>
          <t>doplňte cenu</t>
        </r>
      </text>
    </comment>
    <comment ref="N147" authorId="0">
      <text>
        <r>
          <rPr>
            <b/>
            <sz val="9"/>
            <rFont val="Tahoma"/>
            <family val="2"/>
          </rPr>
          <t>doplňte cenu</t>
        </r>
      </text>
    </comment>
    <comment ref="N148" authorId="0">
      <text>
        <r>
          <rPr>
            <b/>
            <sz val="9"/>
            <rFont val="Tahoma"/>
            <family val="2"/>
          </rPr>
          <t>doplňte cenu</t>
        </r>
      </text>
    </comment>
    <comment ref="N149" authorId="0">
      <text>
        <r>
          <rPr>
            <b/>
            <sz val="9"/>
            <rFont val="Tahoma"/>
            <family val="2"/>
          </rPr>
          <t>doplňte cenu</t>
        </r>
      </text>
    </comment>
    <comment ref="N150" authorId="0">
      <text>
        <r>
          <rPr>
            <b/>
            <sz val="9"/>
            <rFont val="Tahoma"/>
            <family val="2"/>
          </rPr>
          <t>doplňte cenu</t>
        </r>
      </text>
    </comment>
    <comment ref="N151" authorId="0">
      <text>
        <r>
          <rPr>
            <b/>
            <sz val="9"/>
            <rFont val="Tahoma"/>
            <family val="2"/>
          </rPr>
          <t>doplňte cenu</t>
        </r>
      </text>
    </comment>
    <comment ref="N152" authorId="0">
      <text>
        <r>
          <rPr>
            <b/>
            <sz val="9"/>
            <rFont val="Tahoma"/>
            <family val="2"/>
          </rPr>
          <t>doplňte cenu</t>
        </r>
      </text>
    </comment>
    <comment ref="N153" authorId="0">
      <text>
        <r>
          <rPr>
            <b/>
            <sz val="9"/>
            <rFont val="Tahoma"/>
            <family val="2"/>
          </rPr>
          <t>doplňte cenu</t>
        </r>
      </text>
    </comment>
    <comment ref="N154" authorId="0">
      <text>
        <r>
          <rPr>
            <b/>
            <sz val="9"/>
            <rFont val="Tahoma"/>
            <family val="2"/>
          </rPr>
          <t>doplňte cenu</t>
        </r>
      </text>
    </comment>
    <comment ref="N155" authorId="0">
      <text>
        <r>
          <rPr>
            <b/>
            <sz val="9"/>
            <rFont val="Tahoma"/>
            <family val="2"/>
          </rPr>
          <t>doplňte cenu</t>
        </r>
      </text>
    </comment>
    <comment ref="N156" authorId="0">
      <text>
        <r>
          <rPr>
            <b/>
            <sz val="9"/>
            <rFont val="Tahoma"/>
            <family val="2"/>
          </rPr>
          <t>doplňte cenu</t>
        </r>
      </text>
    </comment>
    <comment ref="N157" authorId="0">
      <text>
        <r>
          <rPr>
            <b/>
            <sz val="9"/>
            <rFont val="Tahoma"/>
            <family val="2"/>
          </rPr>
          <t>doplňte cenu</t>
        </r>
      </text>
    </comment>
    <comment ref="N158" authorId="0">
      <text>
        <r>
          <rPr>
            <b/>
            <sz val="9"/>
            <rFont val="Tahoma"/>
            <family val="2"/>
          </rPr>
          <t>doplňte cenu</t>
        </r>
      </text>
    </comment>
    <comment ref="N159" authorId="0">
      <text>
        <r>
          <rPr>
            <b/>
            <sz val="9"/>
            <rFont val="Tahoma"/>
            <family val="2"/>
          </rPr>
          <t>doplňte cenu</t>
        </r>
      </text>
    </comment>
    <comment ref="N160" authorId="0">
      <text>
        <r>
          <rPr>
            <b/>
            <sz val="9"/>
            <rFont val="Tahoma"/>
            <family val="2"/>
          </rPr>
          <t>doplňte cenu</t>
        </r>
      </text>
    </comment>
    <comment ref="N161" authorId="0">
      <text>
        <r>
          <rPr>
            <b/>
            <sz val="9"/>
            <rFont val="Tahoma"/>
            <family val="2"/>
          </rPr>
          <t>doplňte cenu</t>
        </r>
      </text>
    </comment>
    <comment ref="N162" authorId="0">
      <text>
        <r>
          <rPr>
            <b/>
            <sz val="9"/>
            <rFont val="Tahoma"/>
            <family val="2"/>
          </rPr>
          <t>doplňte cenu</t>
        </r>
      </text>
    </comment>
    <comment ref="N163" authorId="0">
      <text>
        <r>
          <rPr>
            <b/>
            <sz val="9"/>
            <rFont val="Tahoma"/>
            <family val="2"/>
          </rPr>
          <t>doplňte cenu</t>
        </r>
      </text>
    </comment>
    <comment ref="N164" authorId="0">
      <text>
        <r>
          <rPr>
            <b/>
            <sz val="9"/>
            <rFont val="Tahoma"/>
            <family val="2"/>
          </rPr>
          <t>doplňte cenu</t>
        </r>
      </text>
    </comment>
    <comment ref="N165" authorId="0">
      <text>
        <r>
          <rPr>
            <b/>
            <sz val="9"/>
            <rFont val="Tahoma"/>
            <family val="2"/>
          </rPr>
          <t>doplňte cenu</t>
        </r>
      </text>
    </comment>
    <comment ref="N166" authorId="0">
      <text>
        <r>
          <rPr>
            <b/>
            <sz val="9"/>
            <rFont val="Tahoma"/>
            <family val="2"/>
          </rPr>
          <t>doplňte cenu</t>
        </r>
      </text>
    </comment>
    <comment ref="N167" authorId="0">
      <text>
        <r>
          <rPr>
            <b/>
            <sz val="9"/>
            <rFont val="Tahoma"/>
            <family val="2"/>
          </rPr>
          <t>doplňte cenu</t>
        </r>
      </text>
    </comment>
    <comment ref="N168" authorId="0">
      <text>
        <r>
          <rPr>
            <b/>
            <sz val="9"/>
            <rFont val="Tahoma"/>
            <family val="2"/>
          </rPr>
          <t>doplňte cenu</t>
        </r>
      </text>
    </comment>
    <comment ref="N169" authorId="0">
      <text>
        <r>
          <rPr>
            <b/>
            <sz val="9"/>
            <rFont val="Tahoma"/>
            <family val="2"/>
          </rPr>
          <t>doplňte cenu</t>
        </r>
      </text>
    </comment>
    <comment ref="N170" authorId="0">
      <text>
        <r>
          <rPr>
            <b/>
            <sz val="9"/>
            <rFont val="Tahoma"/>
            <family val="2"/>
          </rPr>
          <t>doplňte cenu</t>
        </r>
      </text>
    </comment>
    <comment ref="N171" authorId="0">
      <text>
        <r>
          <rPr>
            <b/>
            <sz val="9"/>
            <rFont val="Tahoma"/>
            <family val="2"/>
          </rPr>
          <t>doplňte cenu</t>
        </r>
      </text>
    </comment>
    <comment ref="N172" authorId="0">
      <text>
        <r>
          <rPr>
            <b/>
            <sz val="9"/>
            <rFont val="Tahoma"/>
            <family val="2"/>
          </rPr>
          <t>doplňte cenu</t>
        </r>
      </text>
    </comment>
    <comment ref="N173" authorId="0">
      <text>
        <r>
          <rPr>
            <b/>
            <sz val="9"/>
            <rFont val="Tahoma"/>
            <family val="2"/>
          </rPr>
          <t>doplňte cenu</t>
        </r>
      </text>
    </comment>
    <comment ref="N174" authorId="0">
      <text>
        <r>
          <rPr>
            <b/>
            <sz val="9"/>
            <rFont val="Tahoma"/>
            <family val="2"/>
          </rPr>
          <t>doplňte cenu</t>
        </r>
      </text>
    </comment>
    <comment ref="N175" authorId="0">
      <text>
        <r>
          <rPr>
            <b/>
            <sz val="9"/>
            <rFont val="Tahoma"/>
            <family val="2"/>
          </rPr>
          <t>doplňte cenu</t>
        </r>
      </text>
    </comment>
    <comment ref="N176" authorId="0">
      <text>
        <r>
          <rPr>
            <b/>
            <sz val="9"/>
            <rFont val="Tahoma"/>
            <family val="2"/>
          </rPr>
          <t>doplňte cenu</t>
        </r>
      </text>
    </comment>
    <comment ref="N177" authorId="0">
      <text>
        <r>
          <rPr>
            <b/>
            <sz val="9"/>
            <rFont val="Tahoma"/>
            <family val="2"/>
          </rPr>
          <t>doplňte cenu</t>
        </r>
      </text>
    </comment>
    <comment ref="N178" authorId="0">
      <text>
        <r>
          <rPr>
            <b/>
            <sz val="9"/>
            <rFont val="Tahoma"/>
            <family val="2"/>
          </rPr>
          <t>doplňte cenu</t>
        </r>
      </text>
    </comment>
    <comment ref="N179" authorId="0">
      <text>
        <r>
          <rPr>
            <b/>
            <sz val="9"/>
            <rFont val="Tahoma"/>
            <family val="2"/>
          </rPr>
          <t>doplňte cenu</t>
        </r>
      </text>
    </comment>
    <comment ref="N180" authorId="0">
      <text>
        <r>
          <rPr>
            <b/>
            <sz val="9"/>
            <rFont val="Tahoma"/>
            <family val="2"/>
          </rPr>
          <t>doplňte cenu</t>
        </r>
      </text>
    </comment>
    <comment ref="N181" authorId="0">
      <text>
        <r>
          <rPr>
            <b/>
            <sz val="9"/>
            <rFont val="Tahoma"/>
            <family val="2"/>
          </rPr>
          <t>doplňte cenu</t>
        </r>
      </text>
    </comment>
    <comment ref="N182" authorId="0">
      <text>
        <r>
          <rPr>
            <b/>
            <sz val="9"/>
            <rFont val="Tahoma"/>
            <family val="2"/>
          </rPr>
          <t>doplňte cenu</t>
        </r>
      </text>
    </comment>
    <comment ref="N183" authorId="0">
      <text>
        <r>
          <rPr>
            <b/>
            <sz val="9"/>
            <rFont val="Tahoma"/>
            <family val="2"/>
          </rPr>
          <t>doplňte cenu</t>
        </r>
      </text>
    </comment>
    <comment ref="N184" authorId="0">
      <text>
        <r>
          <rPr>
            <b/>
            <sz val="9"/>
            <rFont val="Tahoma"/>
            <family val="2"/>
          </rPr>
          <t>doplňte cenu</t>
        </r>
      </text>
    </comment>
    <comment ref="N185" authorId="0">
      <text>
        <r>
          <rPr>
            <b/>
            <sz val="9"/>
            <rFont val="Tahoma"/>
            <family val="2"/>
          </rPr>
          <t>doplňte cenu</t>
        </r>
      </text>
    </comment>
    <comment ref="N186" authorId="0">
      <text>
        <r>
          <rPr>
            <b/>
            <sz val="9"/>
            <rFont val="Tahoma"/>
            <family val="2"/>
          </rPr>
          <t>doplňte cenu</t>
        </r>
      </text>
    </comment>
    <comment ref="N187" authorId="0">
      <text>
        <r>
          <rPr>
            <b/>
            <sz val="9"/>
            <rFont val="Tahoma"/>
            <family val="2"/>
          </rPr>
          <t>doplňte cenu</t>
        </r>
      </text>
    </comment>
    <comment ref="N188" authorId="0">
      <text>
        <r>
          <rPr>
            <b/>
            <sz val="9"/>
            <rFont val="Tahoma"/>
            <family val="2"/>
          </rPr>
          <t>doplňte cenu</t>
        </r>
      </text>
    </comment>
    <comment ref="N189" authorId="0">
      <text>
        <r>
          <rPr>
            <b/>
            <sz val="9"/>
            <rFont val="Tahoma"/>
            <family val="2"/>
          </rPr>
          <t>doplňte cenu</t>
        </r>
      </text>
    </comment>
    <comment ref="N190" authorId="0">
      <text>
        <r>
          <rPr>
            <b/>
            <sz val="9"/>
            <rFont val="Tahoma"/>
            <family val="2"/>
          </rPr>
          <t>doplňte cenu</t>
        </r>
      </text>
    </comment>
    <comment ref="N191" authorId="0">
      <text>
        <r>
          <rPr>
            <b/>
            <sz val="9"/>
            <rFont val="Tahoma"/>
            <family val="2"/>
          </rPr>
          <t>doplňte cenu</t>
        </r>
      </text>
    </comment>
    <comment ref="N192" authorId="0">
      <text>
        <r>
          <rPr>
            <b/>
            <sz val="9"/>
            <rFont val="Tahoma"/>
            <family val="2"/>
          </rPr>
          <t>doplňte cenu</t>
        </r>
      </text>
    </comment>
    <comment ref="N193" authorId="0">
      <text>
        <r>
          <rPr>
            <b/>
            <sz val="9"/>
            <rFont val="Tahoma"/>
            <family val="2"/>
          </rPr>
          <t>doplňte cenu</t>
        </r>
      </text>
    </comment>
    <comment ref="N194" authorId="0">
      <text>
        <r>
          <rPr>
            <b/>
            <sz val="9"/>
            <rFont val="Tahoma"/>
            <family val="2"/>
          </rPr>
          <t>doplňte cenu</t>
        </r>
      </text>
    </comment>
    <comment ref="N195" authorId="0">
      <text>
        <r>
          <rPr>
            <b/>
            <sz val="9"/>
            <rFont val="Tahoma"/>
            <family val="2"/>
          </rPr>
          <t>doplňte cenu</t>
        </r>
      </text>
    </comment>
    <comment ref="N196" authorId="0">
      <text>
        <r>
          <rPr>
            <b/>
            <sz val="9"/>
            <rFont val="Tahoma"/>
            <family val="2"/>
          </rPr>
          <t>doplňte cenu</t>
        </r>
      </text>
    </comment>
    <comment ref="N197" authorId="0">
      <text>
        <r>
          <rPr>
            <b/>
            <sz val="9"/>
            <rFont val="Tahoma"/>
            <family val="2"/>
          </rPr>
          <t>doplňte cenu</t>
        </r>
      </text>
    </comment>
    <comment ref="N198" authorId="0">
      <text>
        <r>
          <rPr>
            <b/>
            <sz val="9"/>
            <rFont val="Tahoma"/>
            <family val="2"/>
          </rPr>
          <t>doplňte cenu</t>
        </r>
      </text>
    </comment>
    <comment ref="N199" authorId="0">
      <text>
        <r>
          <rPr>
            <b/>
            <sz val="9"/>
            <rFont val="Tahoma"/>
            <family val="2"/>
          </rPr>
          <t>doplňte cenu</t>
        </r>
      </text>
    </comment>
    <comment ref="N200" authorId="0">
      <text>
        <r>
          <rPr>
            <b/>
            <sz val="9"/>
            <rFont val="Tahoma"/>
            <family val="2"/>
          </rPr>
          <t>doplňte cenu</t>
        </r>
      </text>
    </comment>
    <comment ref="N201" authorId="0">
      <text>
        <r>
          <rPr>
            <b/>
            <sz val="9"/>
            <rFont val="Tahoma"/>
            <family val="2"/>
          </rPr>
          <t>doplňte cenu</t>
        </r>
      </text>
    </comment>
    <comment ref="N202" authorId="0">
      <text>
        <r>
          <rPr>
            <b/>
            <sz val="9"/>
            <rFont val="Tahoma"/>
            <family val="2"/>
          </rPr>
          <t>doplňte cenu</t>
        </r>
      </text>
    </comment>
    <comment ref="N203" authorId="0">
      <text>
        <r>
          <rPr>
            <b/>
            <sz val="9"/>
            <rFont val="Tahoma"/>
            <family val="2"/>
          </rPr>
          <t>doplňte cenu</t>
        </r>
      </text>
    </comment>
    <comment ref="N204" authorId="0">
      <text>
        <r>
          <rPr>
            <b/>
            <sz val="9"/>
            <rFont val="Tahoma"/>
            <family val="2"/>
          </rPr>
          <t>doplňte cenu</t>
        </r>
      </text>
    </comment>
    <comment ref="N205" authorId="0">
      <text>
        <r>
          <rPr>
            <b/>
            <sz val="9"/>
            <rFont val="Tahoma"/>
            <family val="2"/>
          </rPr>
          <t>doplňte cenu</t>
        </r>
      </text>
    </comment>
    <comment ref="N206" authorId="0">
      <text>
        <r>
          <rPr>
            <b/>
            <sz val="9"/>
            <rFont val="Tahoma"/>
            <family val="2"/>
          </rPr>
          <t>doplňte cenu</t>
        </r>
      </text>
    </comment>
    <comment ref="N207" authorId="0">
      <text>
        <r>
          <rPr>
            <b/>
            <sz val="9"/>
            <rFont val="Tahoma"/>
            <family val="2"/>
          </rPr>
          <t>doplňte cenu</t>
        </r>
      </text>
    </comment>
    <comment ref="N208" authorId="0">
      <text>
        <r>
          <rPr>
            <b/>
            <sz val="9"/>
            <rFont val="Tahoma"/>
            <family val="2"/>
          </rPr>
          <t>doplňte cenu</t>
        </r>
      </text>
    </comment>
    <comment ref="N209" authorId="0">
      <text>
        <r>
          <rPr>
            <b/>
            <sz val="9"/>
            <rFont val="Tahoma"/>
            <family val="2"/>
          </rPr>
          <t>doplňte cenu</t>
        </r>
      </text>
    </comment>
    <comment ref="N210" authorId="0">
      <text>
        <r>
          <rPr>
            <b/>
            <sz val="9"/>
            <rFont val="Tahoma"/>
            <family val="2"/>
          </rPr>
          <t>doplňte cenu</t>
        </r>
      </text>
    </comment>
    <comment ref="N211" authorId="0">
      <text>
        <r>
          <rPr>
            <b/>
            <sz val="9"/>
            <rFont val="Tahoma"/>
            <family val="2"/>
          </rPr>
          <t>doplňte cenu</t>
        </r>
      </text>
    </comment>
    <comment ref="N212" authorId="0">
      <text>
        <r>
          <rPr>
            <b/>
            <sz val="9"/>
            <rFont val="Tahoma"/>
            <family val="2"/>
          </rPr>
          <t>doplňte cenu</t>
        </r>
      </text>
    </comment>
    <comment ref="N213" authorId="0">
      <text>
        <r>
          <rPr>
            <b/>
            <sz val="9"/>
            <rFont val="Tahoma"/>
            <family val="2"/>
          </rPr>
          <t>doplňte cenu</t>
        </r>
      </text>
    </comment>
    <comment ref="N214" authorId="0">
      <text>
        <r>
          <rPr>
            <b/>
            <sz val="9"/>
            <rFont val="Tahoma"/>
            <family val="2"/>
          </rPr>
          <t>doplňte cenu</t>
        </r>
      </text>
    </comment>
    <comment ref="N215" authorId="0">
      <text>
        <r>
          <rPr>
            <b/>
            <sz val="9"/>
            <rFont val="Tahoma"/>
            <family val="2"/>
          </rPr>
          <t>doplňte cenu</t>
        </r>
      </text>
    </comment>
    <comment ref="N216" authorId="0">
      <text>
        <r>
          <rPr>
            <b/>
            <sz val="9"/>
            <rFont val="Tahoma"/>
            <family val="2"/>
          </rPr>
          <t>doplňte cenu</t>
        </r>
      </text>
    </comment>
    <comment ref="N217" authorId="0">
      <text>
        <r>
          <rPr>
            <b/>
            <sz val="9"/>
            <rFont val="Tahoma"/>
            <family val="2"/>
          </rPr>
          <t>doplňte cenu</t>
        </r>
      </text>
    </comment>
    <comment ref="N218" authorId="0">
      <text>
        <r>
          <rPr>
            <b/>
            <sz val="9"/>
            <rFont val="Tahoma"/>
            <family val="2"/>
          </rPr>
          <t>doplňte cenu</t>
        </r>
      </text>
    </comment>
    <comment ref="N219" authorId="0">
      <text>
        <r>
          <rPr>
            <b/>
            <sz val="9"/>
            <rFont val="Tahoma"/>
            <family val="2"/>
          </rPr>
          <t>doplňte cenu</t>
        </r>
      </text>
    </comment>
    <comment ref="N220" authorId="0">
      <text>
        <r>
          <rPr>
            <b/>
            <sz val="9"/>
            <rFont val="Tahoma"/>
            <family val="2"/>
          </rPr>
          <t>doplňte cenu</t>
        </r>
      </text>
    </comment>
    <comment ref="N221" authorId="0">
      <text>
        <r>
          <rPr>
            <b/>
            <sz val="9"/>
            <rFont val="Tahoma"/>
            <family val="2"/>
          </rPr>
          <t>doplňte cenu</t>
        </r>
      </text>
    </comment>
    <comment ref="N222" authorId="0">
      <text>
        <r>
          <rPr>
            <b/>
            <sz val="9"/>
            <rFont val="Tahoma"/>
            <family val="2"/>
          </rPr>
          <t>doplňte cenu</t>
        </r>
      </text>
    </comment>
    <comment ref="N223" authorId="0">
      <text>
        <r>
          <rPr>
            <b/>
            <sz val="9"/>
            <rFont val="Tahoma"/>
            <family val="2"/>
          </rPr>
          <t>doplňte cenu</t>
        </r>
      </text>
    </comment>
    <comment ref="N224" authorId="0">
      <text>
        <r>
          <rPr>
            <b/>
            <sz val="9"/>
            <rFont val="Tahoma"/>
            <family val="2"/>
          </rPr>
          <t>doplňte cenu</t>
        </r>
      </text>
    </comment>
    <comment ref="N225" authorId="0">
      <text>
        <r>
          <rPr>
            <b/>
            <sz val="9"/>
            <rFont val="Tahoma"/>
            <family val="2"/>
          </rPr>
          <t>doplňte cenu</t>
        </r>
      </text>
    </comment>
    <comment ref="N226" authorId="0">
      <text>
        <r>
          <rPr>
            <b/>
            <sz val="9"/>
            <rFont val="Tahoma"/>
            <family val="2"/>
          </rPr>
          <t>doplňte cenu</t>
        </r>
      </text>
    </comment>
    <comment ref="N227" authorId="0">
      <text>
        <r>
          <rPr>
            <b/>
            <sz val="9"/>
            <rFont val="Tahoma"/>
            <family val="2"/>
          </rPr>
          <t>doplňte cenu</t>
        </r>
      </text>
    </comment>
    <comment ref="N228" authorId="0">
      <text>
        <r>
          <rPr>
            <b/>
            <sz val="9"/>
            <rFont val="Tahoma"/>
            <family val="2"/>
          </rPr>
          <t>doplňte cenu</t>
        </r>
      </text>
    </comment>
    <comment ref="N229" authorId="0">
      <text>
        <r>
          <rPr>
            <b/>
            <sz val="9"/>
            <rFont val="Tahoma"/>
            <family val="2"/>
          </rPr>
          <t>doplňte cenu</t>
        </r>
      </text>
    </comment>
    <comment ref="N230" authorId="0">
      <text>
        <r>
          <rPr>
            <b/>
            <sz val="9"/>
            <rFont val="Tahoma"/>
            <family val="2"/>
          </rPr>
          <t>doplňte cenu</t>
        </r>
      </text>
    </comment>
    <comment ref="N231" authorId="0">
      <text>
        <r>
          <rPr>
            <b/>
            <sz val="9"/>
            <rFont val="Tahoma"/>
            <family val="2"/>
          </rPr>
          <t>doplňte cenu</t>
        </r>
      </text>
    </comment>
    <comment ref="N232" authorId="0">
      <text>
        <r>
          <rPr>
            <b/>
            <sz val="9"/>
            <rFont val="Tahoma"/>
            <family val="2"/>
          </rPr>
          <t>doplňte cenu</t>
        </r>
      </text>
    </comment>
    <comment ref="N233" authorId="0">
      <text>
        <r>
          <rPr>
            <b/>
            <sz val="9"/>
            <rFont val="Tahoma"/>
            <family val="2"/>
          </rPr>
          <t>doplňte cenu</t>
        </r>
      </text>
    </comment>
    <comment ref="N234" authorId="0">
      <text>
        <r>
          <rPr>
            <b/>
            <sz val="9"/>
            <rFont val="Tahoma"/>
            <family val="2"/>
          </rPr>
          <t>doplňte cenu</t>
        </r>
      </text>
    </comment>
    <comment ref="N235" authorId="0">
      <text>
        <r>
          <rPr>
            <b/>
            <sz val="9"/>
            <rFont val="Tahoma"/>
            <family val="2"/>
          </rPr>
          <t>doplňte cenu</t>
        </r>
      </text>
    </comment>
    <comment ref="N236" authorId="0">
      <text>
        <r>
          <rPr>
            <b/>
            <sz val="9"/>
            <rFont val="Tahoma"/>
            <family val="2"/>
          </rPr>
          <t>doplňte cenu</t>
        </r>
      </text>
    </comment>
    <comment ref="N237" authorId="0">
      <text>
        <r>
          <rPr>
            <b/>
            <sz val="9"/>
            <rFont val="Tahoma"/>
            <family val="2"/>
          </rPr>
          <t>doplňte cenu</t>
        </r>
      </text>
    </comment>
    <comment ref="N238" authorId="0">
      <text>
        <r>
          <rPr>
            <b/>
            <sz val="9"/>
            <rFont val="Tahoma"/>
            <family val="2"/>
          </rPr>
          <t>doplňte cenu</t>
        </r>
      </text>
    </comment>
    <comment ref="N239" authorId="0">
      <text>
        <r>
          <rPr>
            <b/>
            <sz val="9"/>
            <rFont val="Tahoma"/>
            <family val="2"/>
          </rPr>
          <t>doplňte cenu</t>
        </r>
      </text>
    </comment>
    <comment ref="N240" authorId="0">
      <text>
        <r>
          <rPr>
            <b/>
            <sz val="9"/>
            <rFont val="Tahoma"/>
            <family val="2"/>
          </rPr>
          <t>doplňte cenu</t>
        </r>
      </text>
    </comment>
    <comment ref="N241" authorId="0">
      <text>
        <r>
          <rPr>
            <b/>
            <sz val="9"/>
            <rFont val="Tahoma"/>
            <family val="2"/>
          </rPr>
          <t>doplňte cenu</t>
        </r>
      </text>
    </comment>
    <comment ref="N242" authorId="0">
      <text>
        <r>
          <rPr>
            <b/>
            <sz val="9"/>
            <rFont val="Tahoma"/>
            <family val="2"/>
          </rPr>
          <t>doplňte cenu</t>
        </r>
      </text>
    </comment>
    <comment ref="N243" authorId="0">
      <text>
        <r>
          <rPr>
            <b/>
            <sz val="9"/>
            <rFont val="Tahoma"/>
            <family val="2"/>
          </rPr>
          <t>doplňte cenu</t>
        </r>
      </text>
    </comment>
    <comment ref="N244" authorId="0">
      <text>
        <r>
          <rPr>
            <b/>
            <sz val="9"/>
            <rFont val="Tahoma"/>
            <family val="2"/>
          </rPr>
          <t>doplňte cenu</t>
        </r>
      </text>
    </comment>
    <comment ref="N245" authorId="0">
      <text>
        <r>
          <rPr>
            <b/>
            <sz val="9"/>
            <rFont val="Tahoma"/>
            <family val="2"/>
          </rPr>
          <t>doplňte cenu</t>
        </r>
      </text>
    </comment>
    <comment ref="N246" authorId="0">
      <text>
        <r>
          <rPr>
            <b/>
            <sz val="9"/>
            <rFont val="Tahoma"/>
            <family val="2"/>
          </rPr>
          <t>doplňte cenu</t>
        </r>
      </text>
    </comment>
    <comment ref="N247" authorId="0">
      <text>
        <r>
          <rPr>
            <b/>
            <sz val="9"/>
            <rFont val="Tahoma"/>
            <family val="2"/>
          </rPr>
          <t>doplňte cenu</t>
        </r>
      </text>
    </comment>
    <comment ref="N248" authorId="0">
      <text>
        <r>
          <rPr>
            <b/>
            <sz val="9"/>
            <rFont val="Tahoma"/>
            <family val="2"/>
          </rPr>
          <t>doplňte cenu</t>
        </r>
      </text>
    </comment>
    <comment ref="N249" authorId="0">
      <text>
        <r>
          <rPr>
            <b/>
            <sz val="9"/>
            <rFont val="Tahoma"/>
            <family val="2"/>
          </rPr>
          <t>doplňte cenu</t>
        </r>
      </text>
    </comment>
    <comment ref="N250" authorId="0">
      <text>
        <r>
          <rPr>
            <b/>
            <sz val="9"/>
            <rFont val="Tahoma"/>
            <family val="2"/>
          </rPr>
          <t>doplňte cenu</t>
        </r>
      </text>
    </comment>
    <comment ref="N251" authorId="0">
      <text>
        <r>
          <rPr>
            <b/>
            <sz val="9"/>
            <rFont val="Tahoma"/>
            <family val="2"/>
          </rPr>
          <t>doplňte cenu</t>
        </r>
      </text>
    </comment>
    <comment ref="N252" authorId="0">
      <text>
        <r>
          <rPr>
            <b/>
            <sz val="9"/>
            <rFont val="Tahoma"/>
            <family val="2"/>
          </rPr>
          <t>doplňte cenu</t>
        </r>
      </text>
    </comment>
    <comment ref="N253" authorId="0">
      <text>
        <r>
          <rPr>
            <b/>
            <sz val="9"/>
            <rFont val="Tahoma"/>
            <family val="2"/>
          </rPr>
          <t>doplňte cenu</t>
        </r>
      </text>
    </comment>
    <comment ref="N254" authorId="0">
      <text>
        <r>
          <rPr>
            <b/>
            <sz val="9"/>
            <rFont val="Tahoma"/>
            <family val="2"/>
          </rPr>
          <t>doplňte cenu</t>
        </r>
      </text>
    </comment>
    <comment ref="N255" authorId="0">
      <text>
        <r>
          <rPr>
            <b/>
            <sz val="9"/>
            <rFont val="Tahoma"/>
            <family val="2"/>
          </rPr>
          <t>doplňte cenu</t>
        </r>
      </text>
    </comment>
    <comment ref="N256" authorId="0">
      <text>
        <r>
          <rPr>
            <b/>
            <sz val="9"/>
            <rFont val="Tahoma"/>
            <family val="2"/>
          </rPr>
          <t>doplňte cenu</t>
        </r>
      </text>
    </comment>
    <comment ref="N257" authorId="0">
      <text>
        <r>
          <rPr>
            <b/>
            <sz val="9"/>
            <rFont val="Tahoma"/>
            <family val="2"/>
          </rPr>
          <t>doplňte cenu</t>
        </r>
      </text>
    </comment>
    <comment ref="N258" authorId="0">
      <text>
        <r>
          <rPr>
            <b/>
            <sz val="9"/>
            <rFont val="Tahoma"/>
            <family val="2"/>
          </rPr>
          <t>doplňte cenu</t>
        </r>
      </text>
    </comment>
    <comment ref="N259" authorId="0">
      <text>
        <r>
          <rPr>
            <b/>
            <sz val="9"/>
            <rFont val="Tahoma"/>
            <family val="2"/>
          </rPr>
          <t>doplňte cenu</t>
        </r>
      </text>
    </comment>
    <comment ref="N260" authorId="0">
      <text>
        <r>
          <rPr>
            <b/>
            <sz val="9"/>
            <rFont val="Tahoma"/>
            <family val="2"/>
          </rPr>
          <t>doplňte cenu</t>
        </r>
      </text>
    </comment>
    <comment ref="N261" authorId="0">
      <text>
        <r>
          <rPr>
            <b/>
            <sz val="9"/>
            <rFont val="Tahoma"/>
            <family val="2"/>
          </rPr>
          <t>doplňte cenu</t>
        </r>
      </text>
    </comment>
    <comment ref="N262" authorId="0">
      <text>
        <r>
          <rPr>
            <b/>
            <sz val="9"/>
            <rFont val="Tahoma"/>
            <family val="2"/>
          </rPr>
          <t>doplňte cenu</t>
        </r>
      </text>
    </comment>
    <comment ref="N263" authorId="0">
      <text>
        <r>
          <rPr>
            <b/>
            <sz val="9"/>
            <rFont val="Tahoma"/>
            <family val="2"/>
          </rPr>
          <t>doplňte cenu</t>
        </r>
      </text>
    </comment>
    <comment ref="N264" authorId="0">
      <text>
        <r>
          <rPr>
            <b/>
            <sz val="9"/>
            <rFont val="Tahoma"/>
            <family val="2"/>
          </rPr>
          <t>doplňte cenu</t>
        </r>
      </text>
    </comment>
    <comment ref="N265" authorId="0">
      <text>
        <r>
          <rPr>
            <b/>
            <sz val="9"/>
            <rFont val="Tahoma"/>
            <family val="2"/>
          </rPr>
          <t>doplňte cenu</t>
        </r>
      </text>
    </comment>
    <comment ref="N266" authorId="0">
      <text>
        <r>
          <rPr>
            <b/>
            <sz val="9"/>
            <rFont val="Tahoma"/>
            <family val="2"/>
          </rPr>
          <t>doplňte cenu</t>
        </r>
      </text>
    </comment>
    <comment ref="N267" authorId="0">
      <text>
        <r>
          <rPr>
            <b/>
            <sz val="9"/>
            <rFont val="Tahoma"/>
            <family val="2"/>
          </rPr>
          <t>doplňte cenu</t>
        </r>
      </text>
    </comment>
    <comment ref="N268" authorId="0">
      <text>
        <r>
          <rPr>
            <b/>
            <sz val="9"/>
            <rFont val="Tahoma"/>
            <family val="2"/>
          </rPr>
          <t>doplňte cenu</t>
        </r>
      </text>
    </comment>
    <comment ref="N269" authorId="0">
      <text>
        <r>
          <rPr>
            <b/>
            <sz val="9"/>
            <rFont val="Tahoma"/>
            <family val="2"/>
          </rPr>
          <t>doplňte cenu</t>
        </r>
      </text>
    </comment>
    <comment ref="N270" authorId="0">
      <text>
        <r>
          <rPr>
            <b/>
            <sz val="9"/>
            <rFont val="Tahoma"/>
            <family val="2"/>
          </rPr>
          <t>doplňte cenu</t>
        </r>
      </text>
    </comment>
    <comment ref="N271" authorId="0">
      <text>
        <r>
          <rPr>
            <b/>
            <sz val="9"/>
            <rFont val="Tahoma"/>
            <family val="2"/>
          </rPr>
          <t>doplňte cenu</t>
        </r>
      </text>
    </comment>
    <comment ref="N272" authorId="0">
      <text>
        <r>
          <rPr>
            <b/>
            <sz val="9"/>
            <rFont val="Tahoma"/>
            <family val="2"/>
          </rPr>
          <t>doplňte cenu</t>
        </r>
      </text>
    </comment>
    <comment ref="N273" authorId="0">
      <text>
        <r>
          <rPr>
            <b/>
            <sz val="9"/>
            <rFont val="Tahoma"/>
            <family val="2"/>
          </rPr>
          <t>doplňte cenu</t>
        </r>
      </text>
    </comment>
    <comment ref="N274" authorId="0">
      <text>
        <r>
          <rPr>
            <b/>
            <sz val="9"/>
            <rFont val="Tahoma"/>
            <family val="2"/>
          </rPr>
          <t>doplňte cenu</t>
        </r>
      </text>
    </comment>
    <comment ref="N275" authorId="0">
      <text>
        <r>
          <rPr>
            <b/>
            <sz val="9"/>
            <rFont val="Tahoma"/>
            <family val="2"/>
          </rPr>
          <t>doplňte cenu</t>
        </r>
      </text>
    </comment>
    <comment ref="N276" authorId="0">
      <text>
        <r>
          <rPr>
            <b/>
            <sz val="9"/>
            <rFont val="Tahoma"/>
            <family val="2"/>
          </rPr>
          <t>doplňte cenu</t>
        </r>
      </text>
    </comment>
    <comment ref="N277" authorId="0">
      <text>
        <r>
          <rPr>
            <b/>
            <sz val="9"/>
            <rFont val="Tahoma"/>
            <family val="2"/>
          </rPr>
          <t>doplňte cenu</t>
        </r>
      </text>
    </comment>
    <comment ref="N278" authorId="0">
      <text>
        <r>
          <rPr>
            <b/>
            <sz val="9"/>
            <rFont val="Tahoma"/>
            <family val="2"/>
          </rPr>
          <t>doplňte cenu</t>
        </r>
      </text>
    </comment>
    <comment ref="N279" authorId="0">
      <text>
        <r>
          <rPr>
            <b/>
            <sz val="9"/>
            <rFont val="Tahoma"/>
            <family val="2"/>
          </rPr>
          <t>doplňte cenu</t>
        </r>
      </text>
    </comment>
    <comment ref="N280" authorId="0">
      <text>
        <r>
          <rPr>
            <b/>
            <sz val="9"/>
            <rFont val="Tahoma"/>
            <family val="2"/>
          </rPr>
          <t>doplňte cenu</t>
        </r>
      </text>
    </comment>
    <comment ref="N281" authorId="0">
      <text>
        <r>
          <rPr>
            <b/>
            <sz val="9"/>
            <rFont val="Tahoma"/>
            <family val="2"/>
          </rPr>
          <t>doplňte cenu</t>
        </r>
      </text>
    </comment>
    <comment ref="N282" authorId="0">
      <text>
        <r>
          <rPr>
            <b/>
            <sz val="9"/>
            <rFont val="Tahoma"/>
            <family val="2"/>
          </rPr>
          <t>doplňte cenu</t>
        </r>
      </text>
    </comment>
    <comment ref="N283" authorId="0">
      <text>
        <r>
          <rPr>
            <b/>
            <sz val="9"/>
            <rFont val="Tahoma"/>
            <family val="2"/>
          </rPr>
          <t>doplňte cenu</t>
        </r>
      </text>
    </comment>
    <comment ref="N284" authorId="0">
      <text>
        <r>
          <rPr>
            <b/>
            <sz val="9"/>
            <rFont val="Tahoma"/>
            <family val="2"/>
          </rPr>
          <t>doplňte cenu</t>
        </r>
      </text>
    </comment>
    <comment ref="N285" authorId="0">
      <text>
        <r>
          <rPr>
            <b/>
            <sz val="9"/>
            <rFont val="Tahoma"/>
            <family val="2"/>
          </rPr>
          <t>doplňte cenu</t>
        </r>
      </text>
    </comment>
    <comment ref="N286" authorId="0">
      <text>
        <r>
          <rPr>
            <b/>
            <sz val="9"/>
            <rFont val="Tahoma"/>
            <family val="2"/>
          </rPr>
          <t>doplňte cenu</t>
        </r>
      </text>
    </comment>
    <comment ref="N287" authorId="0">
      <text>
        <r>
          <rPr>
            <b/>
            <sz val="9"/>
            <rFont val="Tahoma"/>
            <family val="2"/>
          </rPr>
          <t>doplňte cenu</t>
        </r>
      </text>
    </comment>
    <comment ref="N288" authorId="0">
      <text>
        <r>
          <rPr>
            <b/>
            <sz val="9"/>
            <rFont val="Tahoma"/>
            <family val="2"/>
          </rPr>
          <t>doplňte cenu</t>
        </r>
      </text>
    </comment>
    <comment ref="N289" authorId="0">
      <text>
        <r>
          <rPr>
            <b/>
            <sz val="9"/>
            <rFont val="Tahoma"/>
            <family val="2"/>
          </rPr>
          <t>doplňte cenu</t>
        </r>
      </text>
    </comment>
    <comment ref="N290" authorId="0">
      <text>
        <r>
          <rPr>
            <b/>
            <sz val="9"/>
            <rFont val="Tahoma"/>
            <family val="2"/>
          </rPr>
          <t>doplňte cenu</t>
        </r>
      </text>
    </comment>
    <comment ref="N291" authorId="0">
      <text>
        <r>
          <rPr>
            <b/>
            <sz val="9"/>
            <rFont val="Tahoma"/>
            <family val="2"/>
          </rPr>
          <t>doplňte cenu</t>
        </r>
      </text>
    </comment>
    <comment ref="N292" authorId="0">
      <text>
        <r>
          <rPr>
            <b/>
            <sz val="9"/>
            <rFont val="Tahoma"/>
            <family val="2"/>
          </rPr>
          <t>doplňte cenu</t>
        </r>
      </text>
    </comment>
    <comment ref="N293" authorId="0">
      <text>
        <r>
          <rPr>
            <b/>
            <sz val="9"/>
            <rFont val="Tahoma"/>
            <family val="2"/>
          </rPr>
          <t>doplňte cenu</t>
        </r>
      </text>
    </comment>
    <comment ref="N294" authorId="0">
      <text>
        <r>
          <rPr>
            <b/>
            <sz val="9"/>
            <rFont val="Tahoma"/>
            <family val="2"/>
          </rPr>
          <t>doplňte cenu</t>
        </r>
      </text>
    </comment>
    <comment ref="N295" authorId="0">
      <text>
        <r>
          <rPr>
            <b/>
            <sz val="9"/>
            <rFont val="Tahoma"/>
            <family val="2"/>
          </rPr>
          <t>doplňte cenu</t>
        </r>
      </text>
    </comment>
    <comment ref="N296" authorId="0">
      <text>
        <r>
          <rPr>
            <b/>
            <sz val="9"/>
            <rFont val="Tahoma"/>
            <family val="2"/>
          </rPr>
          <t>doplňte cenu</t>
        </r>
      </text>
    </comment>
    <comment ref="N297" authorId="0">
      <text>
        <r>
          <rPr>
            <b/>
            <sz val="9"/>
            <rFont val="Tahoma"/>
            <family val="2"/>
          </rPr>
          <t>doplňte cenu</t>
        </r>
      </text>
    </comment>
    <comment ref="N298" authorId="0">
      <text>
        <r>
          <rPr>
            <b/>
            <sz val="9"/>
            <rFont val="Tahoma"/>
            <family val="2"/>
          </rPr>
          <t>doplňte cenu</t>
        </r>
      </text>
    </comment>
    <comment ref="N299" authorId="0">
      <text>
        <r>
          <rPr>
            <b/>
            <sz val="9"/>
            <rFont val="Tahoma"/>
            <family val="2"/>
          </rPr>
          <t>doplňte cenu</t>
        </r>
      </text>
    </comment>
    <comment ref="N300" authorId="0">
      <text>
        <r>
          <rPr>
            <b/>
            <sz val="9"/>
            <rFont val="Tahoma"/>
            <family val="2"/>
          </rPr>
          <t>doplňte cenu</t>
        </r>
      </text>
    </comment>
    <comment ref="N301" authorId="0">
      <text>
        <r>
          <rPr>
            <b/>
            <sz val="9"/>
            <rFont val="Tahoma"/>
            <family val="2"/>
          </rPr>
          <t>doplňte cenu</t>
        </r>
      </text>
    </comment>
    <comment ref="N302" authorId="0">
      <text>
        <r>
          <rPr>
            <b/>
            <sz val="9"/>
            <rFont val="Tahoma"/>
            <family val="2"/>
          </rPr>
          <t>doplňte cenu</t>
        </r>
      </text>
    </comment>
    <comment ref="N303" authorId="0">
      <text>
        <r>
          <rPr>
            <b/>
            <sz val="9"/>
            <rFont val="Tahoma"/>
            <family val="2"/>
          </rPr>
          <t>doplňte cenu</t>
        </r>
      </text>
    </comment>
    <comment ref="N304" authorId="0">
      <text>
        <r>
          <rPr>
            <b/>
            <sz val="9"/>
            <rFont val="Tahoma"/>
            <family val="2"/>
          </rPr>
          <t>doplňte cenu</t>
        </r>
      </text>
    </comment>
    <comment ref="N305" authorId="0">
      <text>
        <r>
          <rPr>
            <b/>
            <sz val="9"/>
            <rFont val="Tahoma"/>
            <family val="2"/>
          </rPr>
          <t>doplňte cenu</t>
        </r>
      </text>
    </comment>
    <comment ref="N306" authorId="0">
      <text>
        <r>
          <rPr>
            <b/>
            <sz val="9"/>
            <rFont val="Tahoma"/>
            <family val="2"/>
          </rPr>
          <t>doplňte cenu</t>
        </r>
      </text>
    </comment>
    <comment ref="N307" authorId="0">
      <text>
        <r>
          <rPr>
            <b/>
            <sz val="9"/>
            <rFont val="Tahoma"/>
            <family val="2"/>
          </rPr>
          <t>doplňte cenu</t>
        </r>
      </text>
    </comment>
    <comment ref="N308" authorId="0">
      <text>
        <r>
          <rPr>
            <b/>
            <sz val="9"/>
            <rFont val="Tahoma"/>
            <family val="2"/>
          </rPr>
          <t>doplňte cenu</t>
        </r>
      </text>
    </comment>
    <comment ref="N309" authorId="0">
      <text>
        <r>
          <rPr>
            <b/>
            <sz val="9"/>
            <rFont val="Tahoma"/>
            <family val="2"/>
          </rPr>
          <t>doplňte cenu</t>
        </r>
      </text>
    </comment>
    <comment ref="N310" authorId="0">
      <text>
        <r>
          <rPr>
            <b/>
            <sz val="9"/>
            <rFont val="Tahoma"/>
            <family val="2"/>
          </rPr>
          <t>doplňte cenu</t>
        </r>
      </text>
    </comment>
    <comment ref="N311" authorId="0">
      <text>
        <r>
          <rPr>
            <b/>
            <sz val="9"/>
            <rFont val="Tahoma"/>
            <family val="2"/>
          </rPr>
          <t>doplňte cenu</t>
        </r>
      </text>
    </comment>
    <comment ref="N312" authorId="0">
      <text>
        <r>
          <rPr>
            <b/>
            <sz val="9"/>
            <rFont val="Tahoma"/>
            <family val="2"/>
          </rPr>
          <t>doplňte cenu</t>
        </r>
      </text>
    </comment>
    <comment ref="N313" authorId="0">
      <text>
        <r>
          <rPr>
            <b/>
            <sz val="9"/>
            <rFont val="Tahoma"/>
            <family val="2"/>
          </rPr>
          <t>doplňte cenu</t>
        </r>
      </text>
    </comment>
    <comment ref="N314" authorId="0">
      <text>
        <r>
          <rPr>
            <b/>
            <sz val="9"/>
            <rFont val="Tahoma"/>
            <family val="2"/>
          </rPr>
          <t>doplňte cenu</t>
        </r>
      </text>
    </comment>
    <comment ref="N315" authorId="0">
      <text>
        <r>
          <rPr>
            <b/>
            <sz val="9"/>
            <rFont val="Tahoma"/>
            <family val="2"/>
          </rPr>
          <t>doplňte cenu</t>
        </r>
      </text>
    </comment>
    <comment ref="N316" authorId="0">
      <text>
        <r>
          <rPr>
            <b/>
            <sz val="9"/>
            <rFont val="Tahoma"/>
            <family val="2"/>
          </rPr>
          <t>doplňte cenu</t>
        </r>
      </text>
    </comment>
    <comment ref="N317" authorId="0">
      <text>
        <r>
          <rPr>
            <b/>
            <sz val="9"/>
            <rFont val="Tahoma"/>
            <family val="2"/>
          </rPr>
          <t>doplňte cenu</t>
        </r>
      </text>
    </comment>
    <comment ref="N318" authorId="0">
      <text>
        <r>
          <rPr>
            <b/>
            <sz val="9"/>
            <rFont val="Tahoma"/>
            <family val="2"/>
          </rPr>
          <t>doplňte cenu</t>
        </r>
      </text>
    </comment>
    <comment ref="N319" authorId="0">
      <text>
        <r>
          <rPr>
            <b/>
            <sz val="9"/>
            <rFont val="Tahoma"/>
            <family val="2"/>
          </rPr>
          <t>doplňte cenu</t>
        </r>
      </text>
    </comment>
    <comment ref="N320" authorId="0">
      <text>
        <r>
          <rPr>
            <b/>
            <sz val="9"/>
            <rFont val="Tahoma"/>
            <family val="2"/>
          </rPr>
          <t>doplňte cenu</t>
        </r>
      </text>
    </comment>
    <comment ref="N321" authorId="0">
      <text>
        <r>
          <rPr>
            <b/>
            <sz val="9"/>
            <rFont val="Tahoma"/>
            <family val="2"/>
          </rPr>
          <t>doplňte cenu</t>
        </r>
      </text>
    </comment>
    <comment ref="N322" authorId="0">
      <text>
        <r>
          <rPr>
            <b/>
            <sz val="9"/>
            <rFont val="Tahoma"/>
            <family val="2"/>
          </rPr>
          <t>doplňte cenu</t>
        </r>
      </text>
    </comment>
    <comment ref="N323" authorId="0">
      <text>
        <r>
          <rPr>
            <b/>
            <sz val="9"/>
            <rFont val="Tahoma"/>
            <family val="2"/>
          </rPr>
          <t>doplňte cenu</t>
        </r>
      </text>
    </comment>
    <comment ref="N324" authorId="0">
      <text>
        <r>
          <rPr>
            <b/>
            <sz val="9"/>
            <rFont val="Tahoma"/>
            <family val="2"/>
          </rPr>
          <t>doplňte cenu</t>
        </r>
      </text>
    </comment>
    <comment ref="N325" authorId="0">
      <text>
        <r>
          <rPr>
            <b/>
            <sz val="9"/>
            <rFont val="Tahoma"/>
            <family val="2"/>
          </rPr>
          <t>doplňte cenu</t>
        </r>
      </text>
    </comment>
    <comment ref="N326" authorId="0">
      <text>
        <r>
          <rPr>
            <b/>
            <sz val="9"/>
            <rFont val="Tahoma"/>
            <family val="2"/>
          </rPr>
          <t>doplňte cenu</t>
        </r>
      </text>
    </comment>
    <comment ref="N327" authorId="0">
      <text>
        <r>
          <rPr>
            <b/>
            <sz val="9"/>
            <rFont val="Tahoma"/>
            <family val="2"/>
          </rPr>
          <t>doplňte cenu</t>
        </r>
      </text>
    </comment>
    <comment ref="N328" authorId="0">
      <text>
        <r>
          <rPr>
            <b/>
            <sz val="9"/>
            <rFont val="Tahoma"/>
            <family val="2"/>
          </rPr>
          <t>doplňte cenu</t>
        </r>
      </text>
    </comment>
    <comment ref="N329" authorId="0">
      <text>
        <r>
          <rPr>
            <b/>
            <sz val="9"/>
            <rFont val="Tahoma"/>
            <family val="2"/>
          </rPr>
          <t>doplňte cenu</t>
        </r>
      </text>
    </comment>
    <comment ref="N330" authorId="0">
      <text>
        <r>
          <rPr>
            <b/>
            <sz val="9"/>
            <rFont val="Tahoma"/>
            <family val="2"/>
          </rPr>
          <t>doplňte cenu</t>
        </r>
      </text>
    </comment>
    <comment ref="N331" authorId="0">
      <text>
        <r>
          <rPr>
            <b/>
            <sz val="9"/>
            <rFont val="Tahoma"/>
            <family val="2"/>
          </rPr>
          <t>doplňte cenu</t>
        </r>
      </text>
    </comment>
    <comment ref="N332" authorId="0">
      <text>
        <r>
          <rPr>
            <b/>
            <sz val="9"/>
            <rFont val="Tahoma"/>
            <family val="2"/>
          </rPr>
          <t>doplňte cenu</t>
        </r>
      </text>
    </comment>
    <comment ref="N333" authorId="0">
      <text>
        <r>
          <rPr>
            <b/>
            <sz val="9"/>
            <rFont val="Tahoma"/>
            <family val="2"/>
          </rPr>
          <t>doplňte cenu</t>
        </r>
      </text>
    </comment>
    <comment ref="N334" authorId="0">
      <text>
        <r>
          <rPr>
            <b/>
            <sz val="9"/>
            <rFont val="Tahoma"/>
            <family val="2"/>
          </rPr>
          <t>doplňte cenu</t>
        </r>
      </text>
    </comment>
    <comment ref="N335" authorId="0">
      <text>
        <r>
          <rPr>
            <b/>
            <sz val="9"/>
            <rFont val="Tahoma"/>
            <family val="2"/>
          </rPr>
          <t>doplňte cenu</t>
        </r>
      </text>
    </comment>
    <comment ref="N336" authorId="0">
      <text>
        <r>
          <rPr>
            <b/>
            <sz val="9"/>
            <rFont val="Tahoma"/>
            <family val="2"/>
          </rPr>
          <t>doplňte cenu</t>
        </r>
      </text>
    </comment>
    <comment ref="N337" authorId="0">
      <text>
        <r>
          <rPr>
            <b/>
            <sz val="9"/>
            <rFont val="Tahoma"/>
            <family val="2"/>
          </rPr>
          <t>doplňte cenu</t>
        </r>
      </text>
    </comment>
    <comment ref="N338" authorId="0">
      <text>
        <r>
          <rPr>
            <b/>
            <sz val="9"/>
            <rFont val="Tahoma"/>
            <family val="2"/>
          </rPr>
          <t>doplňte cenu</t>
        </r>
      </text>
    </comment>
    <comment ref="N339" authorId="0">
      <text>
        <r>
          <rPr>
            <b/>
            <sz val="9"/>
            <rFont val="Tahoma"/>
            <family val="2"/>
          </rPr>
          <t>doplňte cenu</t>
        </r>
      </text>
    </comment>
    <comment ref="N340" authorId="0">
      <text>
        <r>
          <rPr>
            <b/>
            <sz val="9"/>
            <rFont val="Tahoma"/>
            <family val="2"/>
          </rPr>
          <t>doplňte cenu</t>
        </r>
      </text>
    </comment>
    <comment ref="N341" authorId="0">
      <text>
        <r>
          <rPr>
            <b/>
            <sz val="9"/>
            <rFont val="Tahoma"/>
            <family val="2"/>
          </rPr>
          <t>doplňte cenu</t>
        </r>
      </text>
    </comment>
    <comment ref="N342" authorId="0">
      <text>
        <r>
          <rPr>
            <b/>
            <sz val="9"/>
            <rFont val="Tahoma"/>
            <family val="2"/>
          </rPr>
          <t>doplňte cenu</t>
        </r>
      </text>
    </comment>
    <comment ref="N343" authorId="0">
      <text>
        <r>
          <rPr>
            <b/>
            <sz val="9"/>
            <rFont val="Tahoma"/>
            <family val="2"/>
          </rPr>
          <t>doplňte cenu</t>
        </r>
      </text>
    </comment>
    <comment ref="N344" authorId="0">
      <text>
        <r>
          <rPr>
            <b/>
            <sz val="9"/>
            <rFont val="Tahoma"/>
            <family val="2"/>
          </rPr>
          <t>doplňte cenu</t>
        </r>
      </text>
    </comment>
    <comment ref="N345" authorId="0">
      <text>
        <r>
          <rPr>
            <b/>
            <sz val="9"/>
            <rFont val="Tahoma"/>
            <family val="2"/>
          </rPr>
          <t>doplňte cenu</t>
        </r>
      </text>
    </comment>
    <comment ref="N346" authorId="0">
      <text>
        <r>
          <rPr>
            <b/>
            <sz val="9"/>
            <rFont val="Tahoma"/>
            <family val="2"/>
          </rPr>
          <t>doplňte cenu</t>
        </r>
      </text>
    </comment>
    <comment ref="N347" authorId="0">
      <text>
        <r>
          <rPr>
            <b/>
            <sz val="9"/>
            <rFont val="Tahoma"/>
            <family val="2"/>
          </rPr>
          <t>doplňte cenu</t>
        </r>
      </text>
    </comment>
    <comment ref="N348" authorId="0">
      <text>
        <r>
          <rPr>
            <b/>
            <sz val="9"/>
            <rFont val="Tahoma"/>
            <family val="2"/>
          </rPr>
          <t>doplňte cenu</t>
        </r>
      </text>
    </comment>
    <comment ref="N349" authorId="0">
      <text>
        <r>
          <rPr>
            <b/>
            <sz val="9"/>
            <rFont val="Tahoma"/>
            <family val="2"/>
          </rPr>
          <t>doplňte cenu</t>
        </r>
      </text>
    </comment>
    <comment ref="N350" authorId="0">
      <text>
        <r>
          <rPr>
            <b/>
            <sz val="9"/>
            <rFont val="Tahoma"/>
            <family val="2"/>
          </rPr>
          <t>doplňte cenu</t>
        </r>
      </text>
    </comment>
    <comment ref="N351" authorId="0">
      <text>
        <r>
          <rPr>
            <b/>
            <sz val="9"/>
            <rFont val="Tahoma"/>
            <family val="2"/>
          </rPr>
          <t>doplňte cenu</t>
        </r>
      </text>
    </comment>
    <comment ref="N352" authorId="0">
      <text>
        <r>
          <rPr>
            <b/>
            <sz val="9"/>
            <rFont val="Tahoma"/>
            <family val="2"/>
          </rPr>
          <t>doplňte cenu</t>
        </r>
      </text>
    </comment>
    <comment ref="N353" authorId="0">
      <text>
        <r>
          <rPr>
            <b/>
            <sz val="9"/>
            <rFont val="Tahoma"/>
            <family val="2"/>
          </rPr>
          <t>doplňte cenu</t>
        </r>
      </text>
    </comment>
    <comment ref="N354" authorId="0">
      <text>
        <r>
          <rPr>
            <b/>
            <sz val="9"/>
            <rFont val="Tahoma"/>
            <family val="2"/>
          </rPr>
          <t>doplňte cenu</t>
        </r>
      </text>
    </comment>
    <comment ref="N355" authorId="0">
      <text>
        <r>
          <rPr>
            <b/>
            <sz val="9"/>
            <rFont val="Tahoma"/>
            <family val="2"/>
          </rPr>
          <t>doplňte cenu</t>
        </r>
      </text>
    </comment>
    <comment ref="N356" authorId="0">
      <text>
        <r>
          <rPr>
            <b/>
            <sz val="9"/>
            <rFont val="Tahoma"/>
            <family val="2"/>
          </rPr>
          <t>doplňte cenu</t>
        </r>
      </text>
    </comment>
    <comment ref="N357" authorId="0">
      <text>
        <r>
          <rPr>
            <b/>
            <sz val="9"/>
            <rFont val="Tahoma"/>
            <family val="2"/>
          </rPr>
          <t>doplňte cenu</t>
        </r>
      </text>
    </comment>
    <comment ref="N358" authorId="0">
      <text>
        <r>
          <rPr>
            <b/>
            <sz val="9"/>
            <rFont val="Tahoma"/>
            <family val="2"/>
          </rPr>
          <t>doplňte cenu</t>
        </r>
      </text>
    </comment>
    <comment ref="N359" authorId="0">
      <text>
        <r>
          <rPr>
            <b/>
            <sz val="9"/>
            <rFont val="Tahoma"/>
            <family val="2"/>
          </rPr>
          <t>doplňte cenu</t>
        </r>
      </text>
    </comment>
    <comment ref="N360" authorId="0">
      <text>
        <r>
          <rPr>
            <b/>
            <sz val="9"/>
            <rFont val="Tahoma"/>
            <family val="2"/>
          </rPr>
          <t>doplňte cenu</t>
        </r>
      </text>
    </comment>
    <comment ref="N361" authorId="0">
      <text>
        <r>
          <rPr>
            <b/>
            <sz val="9"/>
            <rFont val="Tahoma"/>
            <family val="2"/>
          </rPr>
          <t>doplňte cenu</t>
        </r>
      </text>
    </comment>
    <comment ref="N362" authorId="0">
      <text>
        <r>
          <rPr>
            <b/>
            <sz val="9"/>
            <rFont val="Tahoma"/>
            <family val="2"/>
          </rPr>
          <t>doplňte cenu</t>
        </r>
      </text>
    </comment>
    <comment ref="N363" authorId="0">
      <text>
        <r>
          <rPr>
            <b/>
            <sz val="9"/>
            <rFont val="Tahoma"/>
            <family val="2"/>
          </rPr>
          <t>doplňte cenu</t>
        </r>
      </text>
    </comment>
    <comment ref="N364" authorId="0">
      <text>
        <r>
          <rPr>
            <b/>
            <sz val="9"/>
            <rFont val="Tahoma"/>
            <family val="2"/>
          </rPr>
          <t>doplňte cenu</t>
        </r>
      </text>
    </comment>
    <comment ref="N365" authorId="0">
      <text>
        <r>
          <rPr>
            <b/>
            <sz val="9"/>
            <rFont val="Tahoma"/>
            <family val="2"/>
          </rPr>
          <t>doplňte cenu</t>
        </r>
      </text>
    </comment>
    <comment ref="N366" authorId="0">
      <text>
        <r>
          <rPr>
            <b/>
            <sz val="9"/>
            <rFont val="Tahoma"/>
            <family val="2"/>
          </rPr>
          <t>doplňte cenu</t>
        </r>
      </text>
    </comment>
    <comment ref="N367" authorId="0">
      <text>
        <r>
          <rPr>
            <b/>
            <sz val="9"/>
            <rFont val="Tahoma"/>
            <family val="2"/>
          </rPr>
          <t>doplňte cenu</t>
        </r>
      </text>
    </comment>
    <comment ref="N368" authorId="0">
      <text>
        <r>
          <rPr>
            <b/>
            <sz val="9"/>
            <rFont val="Tahoma"/>
            <family val="2"/>
          </rPr>
          <t>doplňte cenu</t>
        </r>
      </text>
    </comment>
    <comment ref="N369" authorId="0">
      <text>
        <r>
          <rPr>
            <b/>
            <sz val="9"/>
            <rFont val="Tahoma"/>
            <family val="2"/>
          </rPr>
          <t>doplňte cenu</t>
        </r>
      </text>
    </comment>
    <comment ref="N370" authorId="0">
      <text>
        <r>
          <rPr>
            <b/>
            <sz val="9"/>
            <rFont val="Tahoma"/>
            <family val="2"/>
          </rPr>
          <t>doplňte cenu</t>
        </r>
      </text>
    </comment>
    <comment ref="N371" authorId="0">
      <text>
        <r>
          <rPr>
            <b/>
            <sz val="9"/>
            <rFont val="Tahoma"/>
            <family val="2"/>
          </rPr>
          <t>doplňte cenu</t>
        </r>
      </text>
    </comment>
    <comment ref="N372" authorId="0">
      <text>
        <r>
          <rPr>
            <b/>
            <sz val="9"/>
            <rFont val="Tahoma"/>
            <family val="2"/>
          </rPr>
          <t>doplňte cenu</t>
        </r>
      </text>
    </comment>
    <comment ref="N373" authorId="0">
      <text>
        <r>
          <rPr>
            <b/>
            <sz val="9"/>
            <rFont val="Tahoma"/>
            <family val="2"/>
          </rPr>
          <t>doplňte cenu</t>
        </r>
      </text>
    </comment>
    <comment ref="N374" authorId="0">
      <text>
        <r>
          <rPr>
            <b/>
            <sz val="9"/>
            <rFont val="Tahoma"/>
            <family val="2"/>
          </rPr>
          <t>doplňte cenu</t>
        </r>
      </text>
    </comment>
    <comment ref="N375" authorId="0">
      <text>
        <r>
          <rPr>
            <b/>
            <sz val="9"/>
            <rFont val="Tahoma"/>
            <family val="2"/>
          </rPr>
          <t>doplňte cenu</t>
        </r>
      </text>
    </comment>
    <comment ref="N376" authorId="0">
      <text>
        <r>
          <rPr>
            <b/>
            <sz val="9"/>
            <rFont val="Tahoma"/>
            <family val="2"/>
          </rPr>
          <t>doplňte cenu</t>
        </r>
      </text>
    </comment>
    <comment ref="N377" authorId="0">
      <text>
        <r>
          <rPr>
            <b/>
            <sz val="9"/>
            <rFont val="Tahoma"/>
            <family val="2"/>
          </rPr>
          <t>doplňte cenu</t>
        </r>
      </text>
    </comment>
    <comment ref="N378" authorId="0">
      <text>
        <r>
          <rPr>
            <b/>
            <sz val="9"/>
            <rFont val="Tahoma"/>
            <family val="2"/>
          </rPr>
          <t>doplňte cenu</t>
        </r>
      </text>
    </comment>
    <comment ref="N379" authorId="0">
      <text>
        <r>
          <rPr>
            <b/>
            <sz val="9"/>
            <rFont val="Tahoma"/>
            <family val="2"/>
          </rPr>
          <t>doplňte cenu</t>
        </r>
      </text>
    </comment>
    <comment ref="N380" authorId="0">
      <text>
        <r>
          <rPr>
            <b/>
            <sz val="9"/>
            <rFont val="Tahoma"/>
            <family val="2"/>
          </rPr>
          <t>doplňte cenu</t>
        </r>
      </text>
    </comment>
    <comment ref="N381" authorId="0">
      <text>
        <r>
          <rPr>
            <b/>
            <sz val="9"/>
            <rFont val="Tahoma"/>
            <family val="2"/>
          </rPr>
          <t>doplňte cenu</t>
        </r>
      </text>
    </comment>
    <comment ref="N382" authorId="0">
      <text>
        <r>
          <rPr>
            <b/>
            <sz val="9"/>
            <rFont val="Tahoma"/>
            <family val="2"/>
          </rPr>
          <t>doplňte cenu</t>
        </r>
      </text>
    </comment>
    <comment ref="N383" authorId="0">
      <text>
        <r>
          <rPr>
            <b/>
            <sz val="9"/>
            <rFont val="Tahoma"/>
            <family val="2"/>
          </rPr>
          <t>doplňte cenu</t>
        </r>
      </text>
    </comment>
    <comment ref="N384" authorId="0">
      <text>
        <r>
          <rPr>
            <b/>
            <sz val="9"/>
            <rFont val="Tahoma"/>
            <family val="2"/>
          </rPr>
          <t>doplňte cenu</t>
        </r>
      </text>
    </comment>
    <comment ref="N385" authorId="0">
      <text>
        <r>
          <rPr>
            <b/>
            <sz val="9"/>
            <rFont val="Tahoma"/>
            <family val="2"/>
          </rPr>
          <t>doplňte cenu</t>
        </r>
      </text>
    </comment>
    <comment ref="N386" authorId="0">
      <text>
        <r>
          <rPr>
            <b/>
            <sz val="9"/>
            <rFont val="Tahoma"/>
            <family val="2"/>
          </rPr>
          <t>doplňte cenu</t>
        </r>
      </text>
    </comment>
    <comment ref="N387" authorId="0">
      <text>
        <r>
          <rPr>
            <b/>
            <sz val="9"/>
            <rFont val="Tahoma"/>
            <family val="2"/>
          </rPr>
          <t>doplňte cenu</t>
        </r>
      </text>
    </comment>
    <comment ref="N388" authorId="0">
      <text>
        <r>
          <rPr>
            <b/>
            <sz val="9"/>
            <rFont val="Tahoma"/>
            <family val="2"/>
          </rPr>
          <t>doplňte cenu</t>
        </r>
      </text>
    </comment>
    <comment ref="N389" authorId="0">
      <text>
        <r>
          <rPr>
            <b/>
            <sz val="9"/>
            <rFont val="Tahoma"/>
            <family val="2"/>
          </rPr>
          <t>doplňte cenu</t>
        </r>
      </text>
    </comment>
    <comment ref="N390" authorId="0">
      <text>
        <r>
          <rPr>
            <b/>
            <sz val="9"/>
            <rFont val="Tahoma"/>
            <family val="2"/>
          </rPr>
          <t>doplňte cenu</t>
        </r>
      </text>
    </comment>
    <comment ref="N391" authorId="0">
      <text>
        <r>
          <rPr>
            <b/>
            <sz val="9"/>
            <rFont val="Tahoma"/>
            <family val="2"/>
          </rPr>
          <t>doplňte cenu</t>
        </r>
      </text>
    </comment>
    <comment ref="N392" authorId="0">
      <text>
        <r>
          <rPr>
            <b/>
            <sz val="9"/>
            <rFont val="Tahoma"/>
            <family val="2"/>
          </rPr>
          <t>doplňte cenu</t>
        </r>
      </text>
    </comment>
    <comment ref="N393" authorId="0">
      <text>
        <r>
          <rPr>
            <b/>
            <sz val="9"/>
            <rFont val="Tahoma"/>
            <family val="2"/>
          </rPr>
          <t>doplňte cenu</t>
        </r>
      </text>
    </comment>
    <comment ref="N394" authorId="0">
      <text>
        <r>
          <rPr>
            <b/>
            <sz val="9"/>
            <rFont val="Tahoma"/>
            <family val="2"/>
          </rPr>
          <t>doplňte cenu</t>
        </r>
      </text>
    </comment>
    <comment ref="N395" authorId="0">
      <text>
        <r>
          <rPr>
            <b/>
            <sz val="9"/>
            <rFont val="Tahoma"/>
            <family val="2"/>
          </rPr>
          <t>doplňte cenu</t>
        </r>
      </text>
    </comment>
    <comment ref="N396" authorId="0">
      <text>
        <r>
          <rPr>
            <b/>
            <sz val="9"/>
            <rFont val="Tahoma"/>
            <family val="2"/>
          </rPr>
          <t>doplňte cenu</t>
        </r>
      </text>
    </comment>
    <comment ref="N397" authorId="0">
      <text>
        <r>
          <rPr>
            <b/>
            <sz val="9"/>
            <rFont val="Tahoma"/>
            <family val="2"/>
          </rPr>
          <t>doplňte cenu</t>
        </r>
      </text>
    </comment>
    <comment ref="N398" authorId="0">
      <text>
        <r>
          <rPr>
            <b/>
            <sz val="9"/>
            <rFont val="Tahoma"/>
            <family val="2"/>
          </rPr>
          <t>doplňte cenu</t>
        </r>
      </text>
    </comment>
    <comment ref="N399" authorId="0">
      <text>
        <r>
          <rPr>
            <b/>
            <sz val="9"/>
            <rFont val="Tahoma"/>
            <family val="2"/>
          </rPr>
          <t>doplňte cenu</t>
        </r>
      </text>
    </comment>
    <comment ref="N400" authorId="0">
      <text>
        <r>
          <rPr>
            <b/>
            <sz val="9"/>
            <rFont val="Tahoma"/>
            <family val="2"/>
          </rPr>
          <t>doplňte cenu</t>
        </r>
      </text>
    </comment>
    <comment ref="N401" authorId="0">
      <text>
        <r>
          <rPr>
            <b/>
            <sz val="9"/>
            <rFont val="Tahoma"/>
            <family val="2"/>
          </rPr>
          <t>doplňte cenu</t>
        </r>
      </text>
    </comment>
    <comment ref="N402" authorId="0">
      <text>
        <r>
          <rPr>
            <b/>
            <sz val="9"/>
            <rFont val="Tahoma"/>
            <family val="2"/>
          </rPr>
          <t>doplňte cenu</t>
        </r>
      </text>
    </comment>
    <comment ref="N403" authorId="0">
      <text>
        <r>
          <rPr>
            <b/>
            <sz val="9"/>
            <rFont val="Tahoma"/>
            <family val="2"/>
          </rPr>
          <t>doplňte cenu</t>
        </r>
      </text>
    </comment>
    <comment ref="N404" authorId="0">
      <text>
        <r>
          <rPr>
            <b/>
            <sz val="9"/>
            <rFont val="Tahoma"/>
            <family val="2"/>
          </rPr>
          <t>doplňte cenu</t>
        </r>
      </text>
    </comment>
    <comment ref="N405" authorId="0">
      <text>
        <r>
          <rPr>
            <b/>
            <sz val="9"/>
            <rFont val="Tahoma"/>
            <family val="2"/>
          </rPr>
          <t>doplňte cenu</t>
        </r>
      </text>
    </comment>
    <comment ref="N406" authorId="0">
      <text>
        <r>
          <rPr>
            <b/>
            <sz val="9"/>
            <rFont val="Tahoma"/>
            <family val="2"/>
          </rPr>
          <t>doplňte cenu</t>
        </r>
      </text>
    </comment>
    <comment ref="N407" authorId="0">
      <text>
        <r>
          <rPr>
            <b/>
            <sz val="9"/>
            <rFont val="Tahoma"/>
            <family val="2"/>
          </rPr>
          <t>doplňte cenu</t>
        </r>
      </text>
    </comment>
    <comment ref="N408" authorId="0">
      <text>
        <r>
          <rPr>
            <b/>
            <sz val="9"/>
            <rFont val="Tahoma"/>
            <family val="2"/>
          </rPr>
          <t>doplňte cenu</t>
        </r>
      </text>
    </comment>
    <comment ref="N409" authorId="0">
      <text>
        <r>
          <rPr>
            <b/>
            <sz val="9"/>
            <rFont val="Tahoma"/>
            <family val="2"/>
          </rPr>
          <t>doplňte cenu</t>
        </r>
      </text>
    </comment>
    <comment ref="N410" authorId="0">
      <text>
        <r>
          <rPr>
            <b/>
            <sz val="9"/>
            <rFont val="Tahoma"/>
            <family val="2"/>
          </rPr>
          <t>doplňte cenu</t>
        </r>
      </text>
    </comment>
    <comment ref="N411" authorId="0">
      <text>
        <r>
          <rPr>
            <b/>
            <sz val="9"/>
            <rFont val="Tahoma"/>
            <family val="2"/>
          </rPr>
          <t>doplňte cenu</t>
        </r>
      </text>
    </comment>
    <comment ref="N412" authorId="0">
      <text>
        <r>
          <rPr>
            <b/>
            <sz val="9"/>
            <rFont val="Tahoma"/>
            <family val="2"/>
          </rPr>
          <t>doplňte cenu</t>
        </r>
      </text>
    </comment>
    <comment ref="N413" authorId="0">
      <text>
        <r>
          <rPr>
            <b/>
            <sz val="9"/>
            <rFont val="Tahoma"/>
            <family val="2"/>
          </rPr>
          <t>doplňte cenu</t>
        </r>
      </text>
    </comment>
    <comment ref="N414" authorId="0">
      <text>
        <r>
          <rPr>
            <b/>
            <sz val="9"/>
            <rFont val="Tahoma"/>
            <family val="2"/>
          </rPr>
          <t>doplňte cenu</t>
        </r>
      </text>
    </comment>
    <comment ref="N415" authorId="0">
      <text>
        <r>
          <rPr>
            <b/>
            <sz val="9"/>
            <rFont val="Tahoma"/>
            <family val="2"/>
          </rPr>
          <t>doplňte cenu</t>
        </r>
      </text>
    </comment>
    <comment ref="N416" authorId="0">
      <text>
        <r>
          <rPr>
            <b/>
            <sz val="9"/>
            <rFont val="Tahoma"/>
            <family val="2"/>
          </rPr>
          <t>doplňte cenu</t>
        </r>
      </text>
    </comment>
    <comment ref="N417" authorId="0">
      <text>
        <r>
          <rPr>
            <b/>
            <sz val="9"/>
            <rFont val="Tahoma"/>
            <family val="2"/>
          </rPr>
          <t>doplňte cenu</t>
        </r>
      </text>
    </comment>
    <comment ref="N418" authorId="0">
      <text>
        <r>
          <rPr>
            <b/>
            <sz val="9"/>
            <rFont val="Tahoma"/>
            <family val="2"/>
          </rPr>
          <t>doplňte cenu</t>
        </r>
      </text>
    </comment>
    <comment ref="N419" authorId="0">
      <text>
        <r>
          <rPr>
            <b/>
            <sz val="9"/>
            <rFont val="Tahoma"/>
            <family val="2"/>
          </rPr>
          <t>doplňte cenu</t>
        </r>
      </text>
    </comment>
    <comment ref="N420" authorId="0">
      <text>
        <r>
          <rPr>
            <b/>
            <sz val="9"/>
            <rFont val="Tahoma"/>
            <family val="2"/>
          </rPr>
          <t>doplňte cenu</t>
        </r>
      </text>
    </comment>
    <comment ref="N421" authorId="0">
      <text>
        <r>
          <rPr>
            <b/>
            <sz val="9"/>
            <rFont val="Tahoma"/>
            <family val="2"/>
          </rPr>
          <t>doplňte cenu</t>
        </r>
      </text>
    </comment>
    <comment ref="N422" authorId="0">
      <text>
        <r>
          <rPr>
            <b/>
            <sz val="9"/>
            <rFont val="Tahoma"/>
            <family val="2"/>
          </rPr>
          <t>doplňte cenu</t>
        </r>
      </text>
    </comment>
    <comment ref="N423" authorId="0">
      <text>
        <r>
          <rPr>
            <b/>
            <sz val="9"/>
            <rFont val="Tahoma"/>
            <family val="2"/>
          </rPr>
          <t>doplňte cenu</t>
        </r>
      </text>
    </comment>
    <comment ref="N424" authorId="0">
      <text>
        <r>
          <rPr>
            <b/>
            <sz val="9"/>
            <rFont val="Tahoma"/>
            <family val="2"/>
          </rPr>
          <t>doplňte cenu</t>
        </r>
      </text>
    </comment>
    <comment ref="N425" authorId="0">
      <text>
        <r>
          <rPr>
            <b/>
            <sz val="9"/>
            <rFont val="Tahoma"/>
            <family val="2"/>
          </rPr>
          <t>doplňte cenu</t>
        </r>
      </text>
    </comment>
    <comment ref="N426" authorId="0">
      <text>
        <r>
          <rPr>
            <b/>
            <sz val="9"/>
            <rFont val="Tahoma"/>
            <family val="2"/>
          </rPr>
          <t>doplňte cenu</t>
        </r>
      </text>
    </comment>
    <comment ref="N427" authorId="0">
      <text>
        <r>
          <rPr>
            <b/>
            <sz val="9"/>
            <rFont val="Tahoma"/>
            <family val="2"/>
          </rPr>
          <t>doplňte cenu</t>
        </r>
      </text>
    </comment>
    <comment ref="N428" authorId="0">
      <text>
        <r>
          <rPr>
            <b/>
            <sz val="9"/>
            <rFont val="Tahoma"/>
            <family val="2"/>
          </rPr>
          <t>doplňte cenu</t>
        </r>
      </text>
    </comment>
    <comment ref="N429" authorId="0">
      <text>
        <r>
          <rPr>
            <b/>
            <sz val="9"/>
            <rFont val="Tahoma"/>
            <family val="2"/>
          </rPr>
          <t>doplňte cenu</t>
        </r>
      </text>
    </comment>
    <comment ref="N430" authorId="0">
      <text>
        <r>
          <rPr>
            <b/>
            <sz val="9"/>
            <rFont val="Tahoma"/>
            <family val="2"/>
          </rPr>
          <t>doplňte cenu</t>
        </r>
      </text>
    </comment>
    <comment ref="N431" authorId="0">
      <text>
        <r>
          <rPr>
            <b/>
            <sz val="9"/>
            <rFont val="Tahoma"/>
            <family val="2"/>
          </rPr>
          <t>doplňte cenu</t>
        </r>
      </text>
    </comment>
    <comment ref="N432" authorId="0">
      <text>
        <r>
          <rPr>
            <b/>
            <sz val="9"/>
            <rFont val="Tahoma"/>
            <family val="2"/>
          </rPr>
          <t>doplňte cenu</t>
        </r>
      </text>
    </comment>
    <comment ref="N433" authorId="0">
      <text>
        <r>
          <rPr>
            <b/>
            <sz val="9"/>
            <rFont val="Tahoma"/>
            <family val="2"/>
          </rPr>
          <t>doplňte cenu</t>
        </r>
      </text>
    </comment>
    <comment ref="N434" authorId="0">
      <text>
        <r>
          <rPr>
            <b/>
            <sz val="9"/>
            <rFont val="Tahoma"/>
            <family val="2"/>
          </rPr>
          <t>doplňte cenu</t>
        </r>
      </text>
    </comment>
    <comment ref="N435" authorId="0">
      <text>
        <r>
          <rPr>
            <b/>
            <sz val="9"/>
            <rFont val="Tahoma"/>
            <family val="2"/>
          </rPr>
          <t>doplňte cenu</t>
        </r>
      </text>
    </comment>
    <comment ref="N436" authorId="0">
      <text>
        <r>
          <rPr>
            <b/>
            <sz val="9"/>
            <rFont val="Tahoma"/>
            <family val="2"/>
          </rPr>
          <t>doplňte cenu</t>
        </r>
      </text>
    </comment>
    <comment ref="N437" authorId="0">
      <text>
        <r>
          <rPr>
            <b/>
            <sz val="9"/>
            <rFont val="Tahoma"/>
            <family val="2"/>
          </rPr>
          <t>doplňte cenu</t>
        </r>
      </text>
    </comment>
    <comment ref="N438" authorId="0">
      <text>
        <r>
          <rPr>
            <b/>
            <sz val="9"/>
            <rFont val="Tahoma"/>
            <family val="2"/>
          </rPr>
          <t>doplňte cenu</t>
        </r>
      </text>
    </comment>
    <comment ref="N439" authorId="0">
      <text>
        <r>
          <rPr>
            <b/>
            <sz val="9"/>
            <rFont val="Tahoma"/>
            <family val="2"/>
          </rPr>
          <t>doplňte cenu</t>
        </r>
      </text>
    </comment>
    <comment ref="N440" authorId="0">
      <text>
        <r>
          <rPr>
            <b/>
            <sz val="9"/>
            <rFont val="Tahoma"/>
            <family val="2"/>
          </rPr>
          <t>doplňte cenu</t>
        </r>
      </text>
    </comment>
    <comment ref="N441" authorId="0">
      <text>
        <r>
          <rPr>
            <b/>
            <sz val="9"/>
            <rFont val="Tahoma"/>
            <family val="2"/>
          </rPr>
          <t>doplňte cenu</t>
        </r>
      </text>
    </comment>
    <comment ref="N442" authorId="0">
      <text>
        <r>
          <rPr>
            <b/>
            <sz val="9"/>
            <rFont val="Tahoma"/>
            <family val="2"/>
          </rPr>
          <t>doplňte cenu</t>
        </r>
      </text>
    </comment>
    <comment ref="N443" authorId="0">
      <text>
        <r>
          <rPr>
            <b/>
            <sz val="9"/>
            <rFont val="Tahoma"/>
            <family val="2"/>
          </rPr>
          <t>doplňte cenu</t>
        </r>
      </text>
    </comment>
    <comment ref="N444" authorId="0">
      <text>
        <r>
          <rPr>
            <b/>
            <sz val="9"/>
            <rFont val="Tahoma"/>
            <family val="2"/>
          </rPr>
          <t>doplňte cenu</t>
        </r>
      </text>
    </comment>
    <comment ref="N445" authorId="0">
      <text>
        <r>
          <rPr>
            <b/>
            <sz val="9"/>
            <rFont val="Tahoma"/>
            <family val="2"/>
          </rPr>
          <t>doplňte cenu</t>
        </r>
      </text>
    </comment>
    <comment ref="N446" authorId="0">
      <text>
        <r>
          <rPr>
            <b/>
            <sz val="9"/>
            <rFont val="Tahoma"/>
            <family val="2"/>
          </rPr>
          <t>doplňte cenu</t>
        </r>
      </text>
    </comment>
    <comment ref="N447" authorId="0">
      <text>
        <r>
          <rPr>
            <b/>
            <sz val="9"/>
            <rFont val="Tahoma"/>
            <family val="2"/>
          </rPr>
          <t>doplňte cenu</t>
        </r>
      </text>
    </comment>
    <comment ref="N448" authorId="0">
      <text>
        <r>
          <rPr>
            <b/>
            <sz val="9"/>
            <rFont val="Tahoma"/>
            <family val="2"/>
          </rPr>
          <t>doplňte cenu</t>
        </r>
      </text>
    </comment>
    <comment ref="N449" authorId="0">
      <text>
        <r>
          <rPr>
            <b/>
            <sz val="9"/>
            <rFont val="Tahoma"/>
            <family val="2"/>
          </rPr>
          <t>doplňte cenu</t>
        </r>
      </text>
    </comment>
    <comment ref="N450" authorId="0">
      <text>
        <r>
          <rPr>
            <b/>
            <sz val="9"/>
            <rFont val="Tahoma"/>
            <family val="2"/>
          </rPr>
          <t>doplňte cenu</t>
        </r>
      </text>
    </comment>
    <comment ref="N451" authorId="0">
      <text>
        <r>
          <rPr>
            <b/>
            <sz val="9"/>
            <rFont val="Tahoma"/>
            <family val="2"/>
          </rPr>
          <t>doplňte cenu</t>
        </r>
      </text>
    </comment>
    <comment ref="N452" authorId="0">
      <text>
        <r>
          <rPr>
            <b/>
            <sz val="9"/>
            <rFont val="Tahoma"/>
            <family val="2"/>
          </rPr>
          <t>doplňte cenu</t>
        </r>
      </text>
    </comment>
    <comment ref="N453" authorId="0">
      <text>
        <r>
          <rPr>
            <b/>
            <sz val="9"/>
            <rFont val="Tahoma"/>
            <family val="2"/>
          </rPr>
          <t>doplňte cenu</t>
        </r>
      </text>
    </comment>
    <comment ref="N454" authorId="0">
      <text>
        <r>
          <rPr>
            <b/>
            <sz val="9"/>
            <rFont val="Tahoma"/>
            <family val="2"/>
          </rPr>
          <t>doplňte cenu</t>
        </r>
      </text>
    </comment>
    <comment ref="N455" authorId="0">
      <text>
        <r>
          <rPr>
            <b/>
            <sz val="9"/>
            <rFont val="Tahoma"/>
            <family val="2"/>
          </rPr>
          <t>doplňte cenu</t>
        </r>
      </text>
    </comment>
    <comment ref="N456" authorId="0">
      <text>
        <r>
          <rPr>
            <b/>
            <sz val="9"/>
            <rFont val="Tahoma"/>
            <family val="2"/>
          </rPr>
          <t>doplňte cenu</t>
        </r>
      </text>
    </comment>
    <comment ref="N457" authorId="0">
      <text>
        <r>
          <rPr>
            <b/>
            <sz val="9"/>
            <rFont val="Tahoma"/>
            <family val="2"/>
          </rPr>
          <t>doplňte cenu</t>
        </r>
      </text>
    </comment>
    <comment ref="N458" authorId="0">
      <text>
        <r>
          <rPr>
            <b/>
            <sz val="9"/>
            <rFont val="Tahoma"/>
            <family val="2"/>
          </rPr>
          <t>doplňte cenu</t>
        </r>
      </text>
    </comment>
    <comment ref="N459" authorId="0">
      <text>
        <r>
          <rPr>
            <b/>
            <sz val="9"/>
            <rFont val="Tahoma"/>
            <family val="2"/>
          </rPr>
          <t>doplňte cenu</t>
        </r>
      </text>
    </comment>
    <comment ref="N460" authorId="0">
      <text>
        <r>
          <rPr>
            <b/>
            <sz val="9"/>
            <rFont val="Tahoma"/>
            <family val="2"/>
          </rPr>
          <t>doplňte cenu</t>
        </r>
      </text>
    </comment>
    <comment ref="N461" authorId="0">
      <text>
        <r>
          <rPr>
            <b/>
            <sz val="9"/>
            <rFont val="Tahoma"/>
            <family val="2"/>
          </rPr>
          <t>doplňte cenu</t>
        </r>
      </text>
    </comment>
    <comment ref="N462" authorId="0">
      <text>
        <r>
          <rPr>
            <b/>
            <sz val="9"/>
            <rFont val="Tahoma"/>
            <family val="2"/>
          </rPr>
          <t>doplňte cenu</t>
        </r>
      </text>
    </comment>
    <comment ref="N463" authorId="0">
      <text>
        <r>
          <rPr>
            <b/>
            <sz val="9"/>
            <rFont val="Tahoma"/>
            <family val="2"/>
          </rPr>
          <t>doplňte cenu</t>
        </r>
      </text>
    </comment>
    <comment ref="N464" authorId="0">
      <text>
        <r>
          <rPr>
            <b/>
            <sz val="9"/>
            <rFont val="Tahoma"/>
            <family val="2"/>
          </rPr>
          <t>doplňte cenu</t>
        </r>
      </text>
    </comment>
    <comment ref="N465" authorId="0">
      <text>
        <r>
          <rPr>
            <b/>
            <sz val="9"/>
            <rFont val="Tahoma"/>
            <family val="2"/>
          </rPr>
          <t>doplňte cenu</t>
        </r>
      </text>
    </comment>
    <comment ref="N466" authorId="0">
      <text>
        <r>
          <rPr>
            <b/>
            <sz val="9"/>
            <rFont val="Tahoma"/>
            <family val="2"/>
          </rPr>
          <t>doplňte cenu</t>
        </r>
      </text>
    </comment>
    <comment ref="N467" authorId="0">
      <text>
        <r>
          <rPr>
            <b/>
            <sz val="9"/>
            <rFont val="Tahoma"/>
            <family val="2"/>
          </rPr>
          <t>doplňte cenu</t>
        </r>
      </text>
    </comment>
    <comment ref="N468" authorId="0">
      <text>
        <r>
          <rPr>
            <b/>
            <sz val="9"/>
            <rFont val="Tahoma"/>
            <family val="2"/>
          </rPr>
          <t>doplňte cenu</t>
        </r>
      </text>
    </comment>
    <comment ref="N469" authorId="0">
      <text>
        <r>
          <rPr>
            <b/>
            <sz val="9"/>
            <rFont val="Tahoma"/>
            <family val="2"/>
          </rPr>
          <t>doplňte cenu</t>
        </r>
      </text>
    </comment>
    <comment ref="N470" authorId="0">
      <text>
        <r>
          <rPr>
            <b/>
            <sz val="9"/>
            <rFont val="Tahoma"/>
            <family val="2"/>
          </rPr>
          <t>doplňte cenu</t>
        </r>
      </text>
    </comment>
    <comment ref="N471" authorId="0">
      <text>
        <r>
          <rPr>
            <b/>
            <sz val="9"/>
            <rFont val="Tahoma"/>
            <family val="2"/>
          </rPr>
          <t>doplňte cenu</t>
        </r>
      </text>
    </comment>
    <comment ref="N472" authorId="0">
      <text>
        <r>
          <rPr>
            <b/>
            <sz val="9"/>
            <rFont val="Tahoma"/>
            <family val="2"/>
          </rPr>
          <t>doplňte cenu</t>
        </r>
      </text>
    </comment>
    <comment ref="N473" authorId="0">
      <text>
        <r>
          <rPr>
            <b/>
            <sz val="9"/>
            <rFont val="Tahoma"/>
            <family val="2"/>
          </rPr>
          <t>doplňte cenu</t>
        </r>
      </text>
    </comment>
    <comment ref="N474" authorId="0">
      <text>
        <r>
          <rPr>
            <b/>
            <sz val="9"/>
            <rFont val="Tahoma"/>
            <family val="2"/>
          </rPr>
          <t>doplňte cenu</t>
        </r>
      </text>
    </comment>
    <comment ref="N475" authorId="0">
      <text>
        <r>
          <rPr>
            <b/>
            <sz val="9"/>
            <rFont val="Tahoma"/>
            <family val="2"/>
          </rPr>
          <t>doplňte cenu</t>
        </r>
      </text>
    </comment>
    <comment ref="N476" authorId="0">
      <text>
        <r>
          <rPr>
            <b/>
            <sz val="9"/>
            <rFont val="Tahoma"/>
            <family val="2"/>
          </rPr>
          <t>doplňte cenu</t>
        </r>
      </text>
    </comment>
    <comment ref="N477" authorId="0">
      <text>
        <r>
          <rPr>
            <b/>
            <sz val="9"/>
            <rFont val="Tahoma"/>
            <family val="2"/>
          </rPr>
          <t>doplňte cenu</t>
        </r>
      </text>
    </comment>
    <comment ref="N478" authorId="0">
      <text>
        <r>
          <rPr>
            <b/>
            <sz val="9"/>
            <rFont val="Tahoma"/>
            <family val="2"/>
          </rPr>
          <t>doplňte cenu</t>
        </r>
      </text>
    </comment>
    <comment ref="N479" authorId="0">
      <text>
        <r>
          <rPr>
            <b/>
            <sz val="9"/>
            <rFont val="Tahoma"/>
            <family val="2"/>
          </rPr>
          <t>doplňte cenu</t>
        </r>
      </text>
    </comment>
    <comment ref="N480" authorId="0">
      <text>
        <r>
          <rPr>
            <b/>
            <sz val="9"/>
            <rFont val="Tahoma"/>
            <family val="2"/>
          </rPr>
          <t>doplňte cenu</t>
        </r>
      </text>
    </comment>
    <comment ref="N481" authorId="0">
      <text>
        <r>
          <rPr>
            <b/>
            <sz val="9"/>
            <rFont val="Tahoma"/>
            <family val="2"/>
          </rPr>
          <t>doplňte cenu</t>
        </r>
      </text>
    </comment>
    <comment ref="N482" authorId="0">
      <text>
        <r>
          <rPr>
            <b/>
            <sz val="9"/>
            <rFont val="Tahoma"/>
            <family val="2"/>
          </rPr>
          <t>doplňte cenu</t>
        </r>
      </text>
    </comment>
    <comment ref="N483" authorId="0">
      <text>
        <r>
          <rPr>
            <b/>
            <sz val="9"/>
            <rFont val="Tahoma"/>
            <family val="2"/>
          </rPr>
          <t>doplňte cenu</t>
        </r>
      </text>
    </comment>
    <comment ref="N484" authorId="0">
      <text>
        <r>
          <rPr>
            <b/>
            <sz val="9"/>
            <rFont val="Tahoma"/>
            <family val="2"/>
          </rPr>
          <t>doplňte cenu</t>
        </r>
      </text>
    </comment>
    <comment ref="N485" authorId="0">
      <text>
        <r>
          <rPr>
            <b/>
            <sz val="9"/>
            <rFont val="Tahoma"/>
            <family val="2"/>
          </rPr>
          <t>doplňte cenu</t>
        </r>
      </text>
    </comment>
    <comment ref="N486" authorId="0">
      <text>
        <r>
          <rPr>
            <b/>
            <sz val="9"/>
            <rFont val="Tahoma"/>
            <family val="2"/>
          </rPr>
          <t>doplňte cenu</t>
        </r>
      </text>
    </comment>
    <comment ref="N487" authorId="0">
      <text>
        <r>
          <rPr>
            <b/>
            <sz val="9"/>
            <rFont val="Tahoma"/>
            <family val="2"/>
          </rPr>
          <t>doplňte cenu</t>
        </r>
      </text>
    </comment>
    <comment ref="N488" authorId="0">
      <text>
        <r>
          <rPr>
            <b/>
            <sz val="9"/>
            <rFont val="Tahoma"/>
            <family val="2"/>
          </rPr>
          <t>doplňte cenu</t>
        </r>
      </text>
    </comment>
    <comment ref="N489" authorId="0">
      <text>
        <r>
          <rPr>
            <b/>
            <sz val="9"/>
            <rFont val="Tahoma"/>
            <family val="2"/>
          </rPr>
          <t>doplňte cenu</t>
        </r>
      </text>
    </comment>
    <comment ref="N490" authorId="0">
      <text>
        <r>
          <rPr>
            <b/>
            <sz val="9"/>
            <rFont val="Tahoma"/>
            <family val="2"/>
          </rPr>
          <t>doplňte cenu</t>
        </r>
      </text>
    </comment>
    <comment ref="N491" authorId="0">
      <text>
        <r>
          <rPr>
            <b/>
            <sz val="9"/>
            <rFont val="Tahoma"/>
            <family val="2"/>
          </rPr>
          <t>doplňte cenu</t>
        </r>
      </text>
    </comment>
    <comment ref="N492" authorId="0">
      <text>
        <r>
          <rPr>
            <b/>
            <sz val="9"/>
            <rFont val="Tahoma"/>
            <family val="2"/>
          </rPr>
          <t>doplňte cenu</t>
        </r>
      </text>
    </comment>
    <comment ref="N493" authorId="0">
      <text>
        <r>
          <rPr>
            <b/>
            <sz val="9"/>
            <rFont val="Tahoma"/>
            <family val="2"/>
          </rPr>
          <t>doplňte cenu</t>
        </r>
      </text>
    </comment>
    <comment ref="N494" authorId="0">
      <text>
        <r>
          <rPr>
            <b/>
            <sz val="9"/>
            <rFont val="Tahoma"/>
            <family val="2"/>
          </rPr>
          <t>doplňte cenu</t>
        </r>
      </text>
    </comment>
    <comment ref="N495" authorId="0">
      <text>
        <r>
          <rPr>
            <b/>
            <sz val="9"/>
            <rFont val="Tahoma"/>
            <family val="2"/>
          </rPr>
          <t>doplňte cenu</t>
        </r>
      </text>
    </comment>
    <comment ref="N496" authorId="0">
      <text>
        <r>
          <rPr>
            <b/>
            <sz val="9"/>
            <rFont val="Tahoma"/>
            <family val="2"/>
          </rPr>
          <t>doplňte cenu</t>
        </r>
      </text>
    </comment>
    <comment ref="N497" authorId="0">
      <text>
        <r>
          <rPr>
            <b/>
            <sz val="9"/>
            <rFont val="Tahoma"/>
            <family val="2"/>
          </rPr>
          <t>doplňte cenu</t>
        </r>
      </text>
    </comment>
    <comment ref="N498" authorId="0">
      <text>
        <r>
          <rPr>
            <b/>
            <sz val="9"/>
            <rFont val="Tahoma"/>
            <family val="2"/>
          </rPr>
          <t>doplňte cenu</t>
        </r>
      </text>
    </comment>
    <comment ref="N499" authorId="0">
      <text>
        <r>
          <rPr>
            <b/>
            <sz val="9"/>
            <rFont val="Tahoma"/>
            <family val="2"/>
          </rPr>
          <t>doplňte cenu</t>
        </r>
      </text>
    </comment>
    <comment ref="N500" authorId="0">
      <text>
        <r>
          <rPr>
            <b/>
            <sz val="9"/>
            <rFont val="Tahoma"/>
            <family val="2"/>
          </rPr>
          <t>doplňte cenu</t>
        </r>
      </text>
    </comment>
    <comment ref="N501" authorId="0">
      <text>
        <r>
          <rPr>
            <b/>
            <sz val="9"/>
            <rFont val="Tahoma"/>
            <family val="2"/>
          </rPr>
          <t>doplňte cenu</t>
        </r>
      </text>
    </comment>
    <comment ref="N502" authorId="0">
      <text>
        <r>
          <rPr>
            <b/>
            <sz val="9"/>
            <rFont val="Tahoma"/>
            <family val="2"/>
          </rPr>
          <t>doplňte cenu</t>
        </r>
      </text>
    </comment>
    <comment ref="N503" authorId="0">
      <text>
        <r>
          <rPr>
            <b/>
            <sz val="9"/>
            <rFont val="Tahoma"/>
            <family val="2"/>
          </rPr>
          <t>doplňte cenu</t>
        </r>
      </text>
    </comment>
    <comment ref="N504" authorId="0">
      <text>
        <r>
          <rPr>
            <b/>
            <sz val="9"/>
            <rFont val="Tahoma"/>
            <family val="2"/>
          </rPr>
          <t>doplňte cenu</t>
        </r>
      </text>
    </comment>
    <comment ref="N505" authorId="0">
      <text>
        <r>
          <rPr>
            <b/>
            <sz val="9"/>
            <rFont val="Tahoma"/>
            <family val="2"/>
          </rPr>
          <t>doplňte cenu</t>
        </r>
      </text>
    </comment>
    <comment ref="N506" authorId="0">
      <text>
        <r>
          <rPr>
            <b/>
            <sz val="9"/>
            <rFont val="Tahoma"/>
            <family val="2"/>
          </rPr>
          <t>doplňte cenu</t>
        </r>
      </text>
    </comment>
    <comment ref="N507" authorId="0">
      <text>
        <r>
          <rPr>
            <b/>
            <sz val="9"/>
            <rFont val="Tahoma"/>
            <family val="2"/>
          </rPr>
          <t>doplňte cenu</t>
        </r>
      </text>
    </comment>
    <comment ref="N508" authorId="0">
      <text>
        <r>
          <rPr>
            <b/>
            <sz val="9"/>
            <rFont val="Tahoma"/>
            <family val="2"/>
          </rPr>
          <t>doplňte cenu</t>
        </r>
      </text>
    </comment>
    <comment ref="N509" authorId="0">
      <text>
        <r>
          <rPr>
            <b/>
            <sz val="9"/>
            <rFont val="Tahoma"/>
            <family val="2"/>
          </rPr>
          <t>doplňte cenu</t>
        </r>
      </text>
    </comment>
    <comment ref="N510" authorId="0">
      <text>
        <r>
          <rPr>
            <b/>
            <sz val="9"/>
            <rFont val="Tahoma"/>
            <family val="2"/>
          </rPr>
          <t>doplňte cenu</t>
        </r>
      </text>
    </comment>
    <comment ref="N511" authorId="0">
      <text>
        <r>
          <rPr>
            <b/>
            <sz val="9"/>
            <rFont val="Tahoma"/>
            <family val="2"/>
          </rPr>
          <t>doplňte cenu</t>
        </r>
      </text>
    </comment>
    <comment ref="N512" authorId="0">
      <text>
        <r>
          <rPr>
            <b/>
            <sz val="9"/>
            <rFont val="Tahoma"/>
            <family val="2"/>
          </rPr>
          <t>doplňte cenu</t>
        </r>
      </text>
    </comment>
    <comment ref="N513" authorId="0">
      <text>
        <r>
          <rPr>
            <b/>
            <sz val="9"/>
            <rFont val="Tahoma"/>
            <family val="2"/>
          </rPr>
          <t>doplňte cenu</t>
        </r>
      </text>
    </comment>
    <comment ref="N514" authorId="0">
      <text>
        <r>
          <rPr>
            <b/>
            <sz val="9"/>
            <rFont val="Tahoma"/>
            <family val="2"/>
          </rPr>
          <t>doplňte cenu</t>
        </r>
      </text>
    </comment>
    <comment ref="N515" authorId="0">
      <text>
        <r>
          <rPr>
            <b/>
            <sz val="9"/>
            <rFont val="Tahoma"/>
            <family val="2"/>
          </rPr>
          <t>doplňte cenu</t>
        </r>
      </text>
    </comment>
    <comment ref="N516" authorId="0">
      <text>
        <r>
          <rPr>
            <b/>
            <sz val="9"/>
            <rFont val="Tahoma"/>
            <family val="2"/>
          </rPr>
          <t>doplňte cenu</t>
        </r>
      </text>
    </comment>
    <comment ref="N517" authorId="0">
      <text>
        <r>
          <rPr>
            <b/>
            <sz val="9"/>
            <rFont val="Tahoma"/>
            <family val="2"/>
          </rPr>
          <t>doplňte cenu</t>
        </r>
      </text>
    </comment>
    <comment ref="N518" authorId="0">
      <text>
        <r>
          <rPr>
            <b/>
            <sz val="9"/>
            <rFont val="Tahoma"/>
            <family val="2"/>
          </rPr>
          <t>doplňte cenu</t>
        </r>
      </text>
    </comment>
    <comment ref="N519" authorId="0">
      <text>
        <r>
          <rPr>
            <b/>
            <sz val="9"/>
            <rFont val="Tahoma"/>
            <family val="2"/>
          </rPr>
          <t>doplňte cenu</t>
        </r>
      </text>
    </comment>
    <comment ref="N520" authorId="0">
      <text>
        <r>
          <rPr>
            <b/>
            <sz val="9"/>
            <rFont val="Tahoma"/>
            <family val="2"/>
          </rPr>
          <t>doplňte cenu</t>
        </r>
      </text>
    </comment>
    <comment ref="N521" authorId="0">
      <text>
        <r>
          <rPr>
            <b/>
            <sz val="9"/>
            <rFont val="Tahoma"/>
            <family val="2"/>
          </rPr>
          <t>doplňte cenu</t>
        </r>
      </text>
    </comment>
    <comment ref="N522" authorId="0">
      <text>
        <r>
          <rPr>
            <b/>
            <sz val="9"/>
            <rFont val="Tahoma"/>
            <family val="2"/>
          </rPr>
          <t>doplňte cenu</t>
        </r>
      </text>
    </comment>
    <comment ref="N523" authorId="0">
      <text>
        <r>
          <rPr>
            <b/>
            <sz val="9"/>
            <rFont val="Tahoma"/>
            <family val="2"/>
          </rPr>
          <t>doplňte cenu</t>
        </r>
      </text>
    </comment>
    <comment ref="N524" authorId="0">
      <text>
        <r>
          <rPr>
            <b/>
            <sz val="9"/>
            <rFont val="Tahoma"/>
            <family val="2"/>
          </rPr>
          <t>doplňte cenu</t>
        </r>
      </text>
    </comment>
    <comment ref="N525" authorId="0">
      <text>
        <r>
          <rPr>
            <b/>
            <sz val="9"/>
            <rFont val="Tahoma"/>
            <family val="2"/>
          </rPr>
          <t>doplňte cenu</t>
        </r>
      </text>
    </comment>
    <comment ref="N526" authorId="0">
      <text>
        <r>
          <rPr>
            <b/>
            <sz val="9"/>
            <rFont val="Tahoma"/>
            <family val="2"/>
          </rPr>
          <t>doplňte cenu</t>
        </r>
      </text>
    </comment>
    <comment ref="N527" authorId="0">
      <text>
        <r>
          <rPr>
            <b/>
            <sz val="9"/>
            <rFont val="Tahoma"/>
            <family val="2"/>
          </rPr>
          <t>doplňte cenu</t>
        </r>
      </text>
    </comment>
    <comment ref="N528" authorId="0">
      <text>
        <r>
          <rPr>
            <b/>
            <sz val="9"/>
            <rFont val="Tahoma"/>
            <family val="2"/>
          </rPr>
          <t>doplňte cenu</t>
        </r>
      </text>
    </comment>
    <comment ref="N529" authorId="0">
      <text>
        <r>
          <rPr>
            <b/>
            <sz val="9"/>
            <rFont val="Tahoma"/>
            <family val="2"/>
          </rPr>
          <t>doplňte cenu</t>
        </r>
      </text>
    </comment>
    <comment ref="N530" authorId="0">
      <text>
        <r>
          <rPr>
            <b/>
            <sz val="9"/>
            <rFont val="Tahoma"/>
            <family val="2"/>
          </rPr>
          <t>doplňte cenu</t>
        </r>
      </text>
    </comment>
    <comment ref="N531" authorId="0">
      <text>
        <r>
          <rPr>
            <b/>
            <sz val="9"/>
            <rFont val="Tahoma"/>
            <family val="2"/>
          </rPr>
          <t>doplňte cenu</t>
        </r>
      </text>
    </comment>
    <comment ref="N532" authorId="0">
      <text>
        <r>
          <rPr>
            <b/>
            <sz val="9"/>
            <rFont val="Tahoma"/>
            <family val="2"/>
          </rPr>
          <t>doplňte cenu</t>
        </r>
      </text>
    </comment>
    <comment ref="N533" authorId="0">
      <text>
        <r>
          <rPr>
            <b/>
            <sz val="9"/>
            <rFont val="Tahoma"/>
            <family val="2"/>
          </rPr>
          <t>doplňte cenu</t>
        </r>
      </text>
    </comment>
    <comment ref="N534" authorId="0">
      <text>
        <r>
          <rPr>
            <b/>
            <sz val="9"/>
            <rFont val="Tahoma"/>
            <family val="2"/>
          </rPr>
          <t>doplňte cenu</t>
        </r>
      </text>
    </comment>
    <comment ref="N535" authorId="0">
      <text>
        <r>
          <rPr>
            <b/>
            <sz val="9"/>
            <rFont val="Tahoma"/>
            <family val="2"/>
          </rPr>
          <t>doplňte cenu</t>
        </r>
      </text>
    </comment>
    <comment ref="N536" authorId="0">
      <text>
        <r>
          <rPr>
            <b/>
            <sz val="9"/>
            <rFont val="Tahoma"/>
            <family val="2"/>
          </rPr>
          <t>doplňte cenu</t>
        </r>
      </text>
    </comment>
    <comment ref="N537" authorId="0">
      <text>
        <r>
          <rPr>
            <b/>
            <sz val="9"/>
            <rFont val="Tahoma"/>
            <family val="2"/>
          </rPr>
          <t>doplňte cenu</t>
        </r>
      </text>
    </comment>
    <comment ref="N538" authorId="0">
      <text>
        <r>
          <rPr>
            <b/>
            <sz val="9"/>
            <rFont val="Tahoma"/>
            <family val="2"/>
          </rPr>
          <t>doplňte cenu</t>
        </r>
      </text>
    </comment>
    <comment ref="N539" authorId="0">
      <text>
        <r>
          <rPr>
            <b/>
            <sz val="9"/>
            <rFont val="Tahoma"/>
            <family val="2"/>
          </rPr>
          <t>doplňte cenu</t>
        </r>
      </text>
    </comment>
    <comment ref="N540" authorId="0">
      <text>
        <r>
          <rPr>
            <b/>
            <sz val="9"/>
            <rFont val="Tahoma"/>
            <family val="2"/>
          </rPr>
          <t>doplňte cenu</t>
        </r>
      </text>
    </comment>
    <comment ref="N541" authorId="0">
      <text>
        <r>
          <rPr>
            <b/>
            <sz val="9"/>
            <rFont val="Tahoma"/>
            <family val="2"/>
          </rPr>
          <t>doplňte cenu</t>
        </r>
      </text>
    </comment>
    <comment ref="N542" authorId="0">
      <text>
        <r>
          <rPr>
            <b/>
            <sz val="9"/>
            <rFont val="Tahoma"/>
            <family val="2"/>
          </rPr>
          <t>doplňte cenu</t>
        </r>
      </text>
    </comment>
    <comment ref="N543" authorId="0">
      <text>
        <r>
          <rPr>
            <b/>
            <sz val="9"/>
            <rFont val="Tahoma"/>
            <family val="2"/>
          </rPr>
          <t>doplňte cenu</t>
        </r>
      </text>
    </comment>
    <comment ref="N544" authorId="0">
      <text>
        <r>
          <rPr>
            <b/>
            <sz val="9"/>
            <rFont val="Tahoma"/>
            <family val="2"/>
          </rPr>
          <t>doplňte cenu</t>
        </r>
      </text>
    </comment>
    <comment ref="N545" authorId="0">
      <text>
        <r>
          <rPr>
            <b/>
            <sz val="9"/>
            <rFont val="Tahoma"/>
            <family val="2"/>
          </rPr>
          <t>doplňte cenu</t>
        </r>
      </text>
    </comment>
    <comment ref="N546" authorId="0">
      <text>
        <r>
          <rPr>
            <b/>
            <sz val="9"/>
            <rFont val="Tahoma"/>
            <family val="2"/>
          </rPr>
          <t>doplňte cenu</t>
        </r>
      </text>
    </comment>
    <comment ref="N547" authorId="0">
      <text>
        <r>
          <rPr>
            <b/>
            <sz val="9"/>
            <rFont val="Tahoma"/>
            <family val="2"/>
          </rPr>
          <t>doplňte cenu</t>
        </r>
      </text>
    </comment>
    <comment ref="N548" authorId="0">
      <text>
        <r>
          <rPr>
            <b/>
            <sz val="9"/>
            <rFont val="Tahoma"/>
            <family val="2"/>
          </rPr>
          <t>doplňte cenu</t>
        </r>
      </text>
    </comment>
    <comment ref="N549" authorId="0">
      <text>
        <r>
          <rPr>
            <b/>
            <sz val="9"/>
            <rFont val="Tahoma"/>
            <family val="2"/>
          </rPr>
          <t>doplňte cenu</t>
        </r>
      </text>
    </comment>
    <comment ref="N550" authorId="0">
      <text>
        <r>
          <rPr>
            <b/>
            <sz val="9"/>
            <rFont val="Tahoma"/>
            <family val="2"/>
          </rPr>
          <t>doplňte cenu</t>
        </r>
      </text>
    </comment>
    <comment ref="N551" authorId="0">
      <text>
        <r>
          <rPr>
            <b/>
            <sz val="9"/>
            <rFont val="Tahoma"/>
            <family val="2"/>
          </rPr>
          <t>doplňte cenu</t>
        </r>
      </text>
    </comment>
    <comment ref="N552" authorId="0">
      <text>
        <r>
          <rPr>
            <b/>
            <sz val="9"/>
            <rFont val="Tahoma"/>
            <family val="2"/>
          </rPr>
          <t>doplňte cenu</t>
        </r>
      </text>
    </comment>
    <comment ref="N553" authorId="0">
      <text>
        <r>
          <rPr>
            <b/>
            <sz val="9"/>
            <rFont val="Tahoma"/>
            <family val="2"/>
          </rPr>
          <t>doplňte cenu</t>
        </r>
      </text>
    </comment>
    <comment ref="N554" authorId="0">
      <text>
        <r>
          <rPr>
            <b/>
            <sz val="9"/>
            <rFont val="Tahoma"/>
            <family val="2"/>
          </rPr>
          <t>doplňte cenu</t>
        </r>
      </text>
    </comment>
    <comment ref="N555" authorId="0">
      <text>
        <r>
          <rPr>
            <b/>
            <sz val="9"/>
            <rFont val="Tahoma"/>
            <family val="2"/>
          </rPr>
          <t>doplňte cenu</t>
        </r>
      </text>
    </comment>
    <comment ref="N556" authorId="0">
      <text>
        <r>
          <rPr>
            <b/>
            <sz val="9"/>
            <rFont val="Tahoma"/>
            <family val="2"/>
          </rPr>
          <t>doplňte cenu</t>
        </r>
      </text>
    </comment>
    <comment ref="N557" authorId="0">
      <text>
        <r>
          <rPr>
            <b/>
            <sz val="9"/>
            <rFont val="Tahoma"/>
            <family val="2"/>
          </rPr>
          <t>doplňte cenu</t>
        </r>
      </text>
    </comment>
    <comment ref="N558" authorId="0">
      <text>
        <r>
          <rPr>
            <b/>
            <sz val="9"/>
            <rFont val="Tahoma"/>
            <family val="2"/>
          </rPr>
          <t>doplňte cenu</t>
        </r>
      </text>
    </comment>
    <comment ref="N559" authorId="0">
      <text>
        <r>
          <rPr>
            <b/>
            <sz val="9"/>
            <rFont val="Tahoma"/>
            <family val="2"/>
          </rPr>
          <t>doplňte cenu</t>
        </r>
      </text>
    </comment>
    <comment ref="N560" authorId="0">
      <text>
        <r>
          <rPr>
            <b/>
            <sz val="9"/>
            <rFont val="Tahoma"/>
            <family val="2"/>
          </rPr>
          <t>doplňte cenu</t>
        </r>
      </text>
    </comment>
    <comment ref="N561" authorId="0">
      <text>
        <r>
          <rPr>
            <b/>
            <sz val="9"/>
            <rFont val="Tahoma"/>
            <family val="2"/>
          </rPr>
          <t>doplňte cenu</t>
        </r>
      </text>
    </comment>
    <comment ref="N562" authorId="0">
      <text>
        <r>
          <rPr>
            <b/>
            <sz val="9"/>
            <rFont val="Tahoma"/>
            <family val="2"/>
          </rPr>
          <t>doplňte cenu</t>
        </r>
      </text>
    </comment>
    <comment ref="N563" authorId="0">
      <text>
        <r>
          <rPr>
            <b/>
            <sz val="9"/>
            <rFont val="Tahoma"/>
            <family val="2"/>
          </rPr>
          <t>doplňte cenu</t>
        </r>
      </text>
    </comment>
    <comment ref="N564" authorId="0">
      <text>
        <r>
          <rPr>
            <b/>
            <sz val="9"/>
            <rFont val="Tahoma"/>
            <family val="2"/>
          </rPr>
          <t>doplňte cenu</t>
        </r>
      </text>
    </comment>
    <comment ref="N565" authorId="0">
      <text>
        <r>
          <rPr>
            <b/>
            <sz val="9"/>
            <rFont val="Tahoma"/>
            <family val="2"/>
          </rPr>
          <t>doplňte cenu</t>
        </r>
      </text>
    </comment>
    <comment ref="N566" authorId="0">
      <text>
        <r>
          <rPr>
            <b/>
            <sz val="9"/>
            <rFont val="Tahoma"/>
            <family val="2"/>
          </rPr>
          <t>doplňte cenu</t>
        </r>
      </text>
    </comment>
    <comment ref="N567" authorId="0">
      <text>
        <r>
          <rPr>
            <b/>
            <sz val="9"/>
            <rFont val="Tahoma"/>
            <family val="2"/>
          </rPr>
          <t>doplňte cenu</t>
        </r>
      </text>
    </comment>
    <comment ref="N568" authorId="0">
      <text>
        <r>
          <rPr>
            <b/>
            <sz val="9"/>
            <rFont val="Tahoma"/>
            <family val="2"/>
          </rPr>
          <t>doplňte cenu</t>
        </r>
      </text>
    </comment>
    <comment ref="N569" authorId="0">
      <text>
        <r>
          <rPr>
            <b/>
            <sz val="9"/>
            <rFont val="Tahoma"/>
            <family val="2"/>
          </rPr>
          <t>doplňte cenu</t>
        </r>
      </text>
    </comment>
    <comment ref="N570" authorId="0">
      <text>
        <r>
          <rPr>
            <b/>
            <sz val="9"/>
            <rFont val="Tahoma"/>
            <family val="2"/>
          </rPr>
          <t>doplňte cenu</t>
        </r>
      </text>
    </comment>
    <comment ref="N571" authorId="0">
      <text>
        <r>
          <rPr>
            <b/>
            <sz val="9"/>
            <rFont val="Tahoma"/>
            <family val="2"/>
          </rPr>
          <t>doplňte cenu</t>
        </r>
      </text>
    </comment>
    <comment ref="N572" authorId="0">
      <text>
        <r>
          <rPr>
            <b/>
            <sz val="9"/>
            <rFont val="Tahoma"/>
            <family val="2"/>
          </rPr>
          <t>doplňte cenu</t>
        </r>
      </text>
    </comment>
    <comment ref="N573" authorId="0">
      <text>
        <r>
          <rPr>
            <b/>
            <sz val="9"/>
            <rFont val="Tahoma"/>
            <family val="2"/>
          </rPr>
          <t>doplňte cenu</t>
        </r>
      </text>
    </comment>
    <comment ref="N574" authorId="0">
      <text>
        <r>
          <rPr>
            <b/>
            <sz val="9"/>
            <rFont val="Tahoma"/>
            <family val="2"/>
          </rPr>
          <t>doplňte cenu</t>
        </r>
      </text>
    </comment>
    <comment ref="N575" authorId="0">
      <text>
        <r>
          <rPr>
            <b/>
            <sz val="9"/>
            <rFont val="Tahoma"/>
            <family val="2"/>
          </rPr>
          <t>doplňte cenu</t>
        </r>
      </text>
    </comment>
    <comment ref="N576" authorId="0">
      <text>
        <r>
          <rPr>
            <b/>
            <sz val="9"/>
            <rFont val="Tahoma"/>
            <family val="2"/>
          </rPr>
          <t>doplňte cenu</t>
        </r>
      </text>
    </comment>
    <comment ref="N577" authorId="0">
      <text>
        <r>
          <rPr>
            <b/>
            <sz val="9"/>
            <rFont val="Tahoma"/>
            <family val="2"/>
          </rPr>
          <t>doplňte cenu</t>
        </r>
      </text>
    </comment>
    <comment ref="N578" authorId="0">
      <text>
        <r>
          <rPr>
            <b/>
            <sz val="9"/>
            <rFont val="Tahoma"/>
            <family val="2"/>
          </rPr>
          <t>doplňte cenu</t>
        </r>
      </text>
    </comment>
    <comment ref="N579" authorId="0">
      <text>
        <r>
          <rPr>
            <b/>
            <sz val="9"/>
            <rFont val="Tahoma"/>
            <family val="2"/>
          </rPr>
          <t>doplňte cenu</t>
        </r>
      </text>
    </comment>
    <comment ref="N580" authorId="0">
      <text>
        <r>
          <rPr>
            <b/>
            <sz val="9"/>
            <rFont val="Tahoma"/>
            <family val="2"/>
          </rPr>
          <t>doplňte cenu</t>
        </r>
      </text>
    </comment>
    <comment ref="N581" authorId="0">
      <text>
        <r>
          <rPr>
            <b/>
            <sz val="9"/>
            <rFont val="Tahoma"/>
            <family val="2"/>
          </rPr>
          <t>doplňte cenu</t>
        </r>
      </text>
    </comment>
    <comment ref="N582" authorId="0">
      <text>
        <r>
          <rPr>
            <b/>
            <sz val="9"/>
            <rFont val="Tahoma"/>
            <family val="2"/>
          </rPr>
          <t>doplňte cenu</t>
        </r>
      </text>
    </comment>
    <comment ref="N583" authorId="0">
      <text>
        <r>
          <rPr>
            <b/>
            <sz val="9"/>
            <rFont val="Tahoma"/>
            <family val="2"/>
          </rPr>
          <t>doplňte cenu</t>
        </r>
      </text>
    </comment>
    <comment ref="N584" authorId="0">
      <text>
        <r>
          <rPr>
            <b/>
            <sz val="9"/>
            <rFont val="Tahoma"/>
            <family val="2"/>
          </rPr>
          <t>doplňte cenu</t>
        </r>
      </text>
    </comment>
    <comment ref="N585" authorId="0">
      <text>
        <r>
          <rPr>
            <b/>
            <sz val="9"/>
            <rFont val="Tahoma"/>
            <family val="2"/>
          </rPr>
          <t>doplňte cenu</t>
        </r>
      </text>
    </comment>
    <comment ref="N586" authorId="0">
      <text>
        <r>
          <rPr>
            <b/>
            <sz val="9"/>
            <rFont val="Tahoma"/>
            <family val="2"/>
          </rPr>
          <t>doplňte cenu</t>
        </r>
      </text>
    </comment>
    <comment ref="N587" authorId="0">
      <text>
        <r>
          <rPr>
            <b/>
            <sz val="9"/>
            <rFont val="Tahoma"/>
            <family val="2"/>
          </rPr>
          <t>doplňte cenu</t>
        </r>
      </text>
    </comment>
    <comment ref="N588" authorId="0">
      <text>
        <r>
          <rPr>
            <b/>
            <sz val="9"/>
            <rFont val="Tahoma"/>
            <family val="2"/>
          </rPr>
          <t>doplňte cenu</t>
        </r>
      </text>
    </comment>
    <comment ref="N589" authorId="0">
      <text>
        <r>
          <rPr>
            <b/>
            <sz val="9"/>
            <rFont val="Tahoma"/>
            <family val="2"/>
          </rPr>
          <t>doplňte cenu</t>
        </r>
      </text>
    </comment>
    <comment ref="N590" authorId="0">
      <text>
        <r>
          <rPr>
            <b/>
            <sz val="9"/>
            <rFont val="Tahoma"/>
            <family val="2"/>
          </rPr>
          <t>doplňte cenu</t>
        </r>
      </text>
    </comment>
    <comment ref="N591" authorId="0">
      <text>
        <r>
          <rPr>
            <b/>
            <sz val="9"/>
            <rFont val="Tahoma"/>
            <family val="2"/>
          </rPr>
          <t>doplňte cenu</t>
        </r>
      </text>
    </comment>
    <comment ref="N592" authorId="0">
      <text>
        <r>
          <rPr>
            <b/>
            <sz val="9"/>
            <rFont val="Tahoma"/>
            <family val="2"/>
          </rPr>
          <t>doplňte cenu</t>
        </r>
      </text>
    </comment>
    <comment ref="N593" authorId="0">
      <text>
        <r>
          <rPr>
            <b/>
            <sz val="9"/>
            <rFont val="Tahoma"/>
            <family val="2"/>
          </rPr>
          <t>doplňte cenu</t>
        </r>
      </text>
    </comment>
    <comment ref="N594" authorId="0">
      <text>
        <r>
          <rPr>
            <b/>
            <sz val="9"/>
            <rFont val="Tahoma"/>
            <family val="2"/>
          </rPr>
          <t>doplňte cenu</t>
        </r>
      </text>
    </comment>
    <comment ref="N595" authorId="0">
      <text>
        <r>
          <rPr>
            <b/>
            <sz val="9"/>
            <rFont val="Tahoma"/>
            <family val="2"/>
          </rPr>
          <t>doplňte cenu</t>
        </r>
      </text>
    </comment>
    <comment ref="N596" authorId="0">
      <text>
        <r>
          <rPr>
            <b/>
            <sz val="9"/>
            <rFont val="Tahoma"/>
            <family val="2"/>
          </rPr>
          <t>doplňte cenu</t>
        </r>
      </text>
    </comment>
    <comment ref="N597" authorId="0">
      <text>
        <r>
          <rPr>
            <b/>
            <sz val="9"/>
            <rFont val="Tahoma"/>
            <family val="2"/>
          </rPr>
          <t>doplňte cenu</t>
        </r>
      </text>
    </comment>
    <comment ref="N598" authorId="0">
      <text>
        <r>
          <rPr>
            <b/>
            <sz val="9"/>
            <rFont val="Tahoma"/>
            <family val="2"/>
          </rPr>
          <t>doplňte cenu</t>
        </r>
      </text>
    </comment>
    <comment ref="N599" authorId="0">
      <text>
        <r>
          <rPr>
            <b/>
            <sz val="9"/>
            <rFont val="Tahoma"/>
            <family val="2"/>
          </rPr>
          <t>doplňte cenu</t>
        </r>
      </text>
    </comment>
    <comment ref="N600" authorId="0">
      <text>
        <r>
          <rPr>
            <b/>
            <sz val="9"/>
            <rFont val="Tahoma"/>
            <family val="2"/>
          </rPr>
          <t>doplňte cenu</t>
        </r>
      </text>
    </comment>
    <comment ref="N601" authorId="0">
      <text>
        <r>
          <rPr>
            <b/>
            <sz val="9"/>
            <rFont val="Tahoma"/>
            <family val="2"/>
          </rPr>
          <t>doplňte cenu</t>
        </r>
      </text>
    </comment>
    <comment ref="N602" authorId="0">
      <text>
        <r>
          <rPr>
            <b/>
            <sz val="9"/>
            <rFont val="Tahoma"/>
            <family val="2"/>
          </rPr>
          <t>doplňte cenu</t>
        </r>
      </text>
    </comment>
    <comment ref="N603" authorId="0">
      <text>
        <r>
          <rPr>
            <b/>
            <sz val="9"/>
            <rFont val="Tahoma"/>
            <family val="2"/>
          </rPr>
          <t>doplňte cenu</t>
        </r>
      </text>
    </comment>
    <comment ref="N604" authorId="0">
      <text>
        <r>
          <rPr>
            <b/>
            <sz val="9"/>
            <rFont val="Tahoma"/>
            <family val="2"/>
          </rPr>
          <t>doplňte cenu</t>
        </r>
      </text>
    </comment>
    <comment ref="N605" authorId="0">
      <text>
        <r>
          <rPr>
            <b/>
            <sz val="9"/>
            <rFont val="Tahoma"/>
            <family val="2"/>
          </rPr>
          <t>doplňte cenu</t>
        </r>
      </text>
    </comment>
    <comment ref="N606" authorId="0">
      <text>
        <r>
          <rPr>
            <b/>
            <sz val="9"/>
            <rFont val="Tahoma"/>
            <family val="2"/>
          </rPr>
          <t>doplňte cenu</t>
        </r>
      </text>
    </comment>
    <comment ref="N607" authorId="0">
      <text>
        <r>
          <rPr>
            <b/>
            <sz val="9"/>
            <rFont val="Tahoma"/>
            <family val="2"/>
          </rPr>
          <t>doplňte cenu</t>
        </r>
      </text>
    </comment>
    <comment ref="N608" authorId="0">
      <text>
        <r>
          <rPr>
            <b/>
            <sz val="9"/>
            <rFont val="Tahoma"/>
            <family val="2"/>
          </rPr>
          <t>doplňte cenu</t>
        </r>
      </text>
    </comment>
    <comment ref="N609" authorId="0">
      <text>
        <r>
          <rPr>
            <b/>
            <sz val="9"/>
            <rFont val="Tahoma"/>
            <family val="2"/>
          </rPr>
          <t>doplňte cenu</t>
        </r>
      </text>
    </comment>
    <comment ref="N610" authorId="0">
      <text>
        <r>
          <rPr>
            <b/>
            <sz val="9"/>
            <rFont val="Tahoma"/>
            <family val="2"/>
          </rPr>
          <t>doplňte cenu</t>
        </r>
      </text>
    </comment>
    <comment ref="N611" authorId="0">
      <text>
        <r>
          <rPr>
            <b/>
            <sz val="9"/>
            <rFont val="Tahoma"/>
            <family val="2"/>
          </rPr>
          <t>doplňte cenu</t>
        </r>
      </text>
    </comment>
    <comment ref="N612" authorId="0">
      <text>
        <r>
          <rPr>
            <b/>
            <sz val="9"/>
            <rFont val="Tahoma"/>
            <family val="2"/>
          </rPr>
          <t>doplňte cenu</t>
        </r>
      </text>
    </comment>
    <comment ref="N613" authorId="0">
      <text>
        <r>
          <rPr>
            <b/>
            <sz val="9"/>
            <rFont val="Tahoma"/>
            <family val="2"/>
          </rPr>
          <t>doplňte cenu</t>
        </r>
      </text>
    </comment>
    <comment ref="N614" authorId="0">
      <text>
        <r>
          <rPr>
            <b/>
            <sz val="9"/>
            <rFont val="Tahoma"/>
            <family val="2"/>
          </rPr>
          <t>doplňte cenu</t>
        </r>
      </text>
    </comment>
    <comment ref="N615" authorId="0">
      <text>
        <r>
          <rPr>
            <b/>
            <sz val="9"/>
            <rFont val="Tahoma"/>
            <family val="2"/>
          </rPr>
          <t>doplňte cenu</t>
        </r>
      </text>
    </comment>
    <comment ref="N616" authorId="0">
      <text>
        <r>
          <rPr>
            <b/>
            <sz val="9"/>
            <rFont val="Tahoma"/>
            <family val="2"/>
          </rPr>
          <t>doplňte cenu</t>
        </r>
      </text>
    </comment>
    <comment ref="N617" authorId="0">
      <text>
        <r>
          <rPr>
            <b/>
            <sz val="9"/>
            <rFont val="Tahoma"/>
            <family val="2"/>
          </rPr>
          <t>doplňte cenu</t>
        </r>
      </text>
    </comment>
    <comment ref="N618" authorId="0">
      <text>
        <r>
          <rPr>
            <b/>
            <sz val="9"/>
            <rFont val="Tahoma"/>
            <family val="2"/>
          </rPr>
          <t>doplňte cenu</t>
        </r>
      </text>
    </comment>
    <comment ref="N619" authorId="0">
      <text>
        <r>
          <rPr>
            <b/>
            <sz val="9"/>
            <rFont val="Tahoma"/>
            <family val="2"/>
          </rPr>
          <t>doplňte cenu</t>
        </r>
      </text>
    </comment>
    <comment ref="N620" authorId="0">
      <text>
        <r>
          <rPr>
            <b/>
            <sz val="9"/>
            <rFont val="Tahoma"/>
            <family val="2"/>
          </rPr>
          <t>doplňte cenu</t>
        </r>
      </text>
    </comment>
    <comment ref="N621" authorId="0">
      <text>
        <r>
          <rPr>
            <b/>
            <sz val="9"/>
            <rFont val="Tahoma"/>
            <family val="2"/>
          </rPr>
          <t>doplňte cenu</t>
        </r>
      </text>
    </comment>
    <comment ref="N622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<sst xmlns="http://schemas.openxmlformats.org/spreadsheetml/2006/main" count="3570" uniqueCount="365">
  <si>
    <t>Plocha</t>
  </si>
  <si>
    <t>Taxon latinsky</t>
  </si>
  <si>
    <t>Taxon</t>
  </si>
  <si>
    <t>Poznámka ke stromu</t>
  </si>
  <si>
    <t>Technologie</t>
  </si>
  <si>
    <t>Technologie - popis</t>
  </si>
  <si>
    <t>Poznámka k ošetření</t>
  </si>
  <si>
    <t>Odkaz do mapy</t>
  </si>
  <si>
    <t>Beskydská - Koperníkova</t>
  </si>
  <si>
    <t>Tilia cordata</t>
  </si>
  <si>
    <t>lípa malolistá</t>
  </si>
  <si>
    <t>Tlaková vidlice.
 Potlačit slabší větev vyvíjející se tlakové vidlice.</t>
  </si>
  <si>
    <t>S-RLLR</t>
  </si>
  <si>
    <t>Lokální redukce z důvodu stabilizace</t>
  </si>
  <si>
    <t>S-RZ</t>
  </si>
  <si>
    <t>Řez zdravotní</t>
  </si>
  <si>
    <t>Tlaková vidlice v koruně.</t>
  </si>
  <si>
    <t>Potlačit jednu z větví tlakového větvení.</t>
  </si>
  <si>
    <t>Tlaková vidlice vyvíjející se.</t>
  </si>
  <si>
    <t>S-RLPV</t>
  </si>
  <si>
    <t>Úprava průjezdného či průchozího profilu</t>
  </si>
  <si>
    <t>Potlačit slabší větev vyvíjející se tlakové vidlice. Poškozené kořeny.</t>
  </si>
  <si>
    <t>Odlehčení nestabilních větví.</t>
  </si>
  <si>
    <t>Potlačit slabší větev vyvíjející se tlakové vidlice.</t>
  </si>
  <si>
    <t>Tlakové vidlice - redukovat.
 Poškozené kořeny.</t>
  </si>
  <si>
    <t>S-RLSP</t>
  </si>
  <si>
    <t>Lokální redukce směrem k překážce</t>
  </si>
  <si>
    <t>Betula pendula</t>
  </si>
  <si>
    <t>bříza bělokorá</t>
  </si>
  <si>
    <t>Tlaková vidlice v kosterním větvení.</t>
  </si>
  <si>
    <t>Bezručova</t>
  </si>
  <si>
    <t>Acer pseudoplatanus</t>
  </si>
  <si>
    <t>javor horský</t>
  </si>
  <si>
    <t>Infekce báze kmene. Infekce větví. Tlaková vidlice vyvíjející se.</t>
  </si>
  <si>
    <t>Odlehčení nestabilních větví. Potlačit jednu z větví tlakového větvení.</t>
  </si>
  <si>
    <t>Infekce kosterního větvení. Vrůstá do chodníku.</t>
  </si>
  <si>
    <t>Boženy Němcové - potok</t>
  </si>
  <si>
    <t>Tilia platyphyllos</t>
  </si>
  <si>
    <t>lípa velkolistá</t>
  </si>
  <si>
    <t>Ulmus laevis</t>
  </si>
  <si>
    <t>jilm vaz</t>
  </si>
  <si>
    <t>Sledovat.</t>
  </si>
  <si>
    <t>B. Němcové - u školy</t>
  </si>
  <si>
    <t>Tlaková vidlice vyvíjející se. Odstranit jmelí/ochmet.</t>
  </si>
  <si>
    <t>Crataegus laevigata</t>
  </si>
  <si>
    <t>hloh obecný</t>
  </si>
  <si>
    <t>Dolní Lištná - sídliště</t>
  </si>
  <si>
    <t>Aesculus hippocastanum</t>
  </si>
  <si>
    <t>jírovec maďal</t>
  </si>
  <si>
    <t>Tilia tomentosa</t>
  </si>
  <si>
    <t>lípa stříbrná</t>
  </si>
  <si>
    <t>Vyvíjející se tlaková vidlice.
 Potlačit slabší větev vyvíjející se tlakové vidlice.</t>
  </si>
  <si>
    <t>Pinus nigra</t>
  </si>
  <si>
    <t>borovice černá</t>
  </si>
  <si>
    <t>S-RV</t>
  </si>
  <si>
    <t>Řez výchovný</t>
  </si>
  <si>
    <t>Tlaková vidlice od baze.</t>
  </si>
  <si>
    <t>Redukce ve směru objektu.</t>
  </si>
  <si>
    <t>Carpinus betulus</t>
  </si>
  <si>
    <t>habr obecný</t>
  </si>
  <si>
    <t>Infekce kosterního větvení.</t>
  </si>
  <si>
    <t>Populus x canadensis</t>
  </si>
  <si>
    <t>topol kanadský</t>
  </si>
  <si>
    <t>Tlaková vidlice od báze.</t>
  </si>
  <si>
    <t>Fraxinus excelsior</t>
  </si>
  <si>
    <t>jasan ztepilý</t>
  </si>
  <si>
    <t>Cerasus avium</t>
  </si>
  <si>
    <t>třešeň ptačí</t>
  </si>
  <si>
    <t>Odlehčit větve nad komunikací či chodníkem.</t>
  </si>
  <si>
    <t>S-RS</t>
  </si>
  <si>
    <t>Řez sesazovací</t>
  </si>
  <si>
    <t>Acer platanoides</t>
  </si>
  <si>
    <t>javor mléčný</t>
  </si>
  <si>
    <t>Dukelská</t>
  </si>
  <si>
    <t>Acer negundo</t>
  </si>
  <si>
    <t>javor jasanolistý</t>
  </si>
  <si>
    <t>S-SSK</t>
  </si>
  <si>
    <t>Stabilizace sekundární koruny</t>
  </si>
  <si>
    <t>Dukelská - Krátká</t>
  </si>
  <si>
    <t>Jmelí v koruně.</t>
  </si>
  <si>
    <t>Tlakové vidlice v kosterním větvení - výrazně redukovat, sledovat.</t>
  </si>
  <si>
    <t>Potlačit jednu z větví tlakového větvení. Odlehčení nestabilních větví.</t>
  </si>
  <si>
    <t>Dukelská - stromy ve svahu</t>
  </si>
  <si>
    <t>Padus avium</t>
  </si>
  <si>
    <t>střemcha obecná</t>
  </si>
  <si>
    <t>Velké řezné rány. Zavěšená větev v koruně.</t>
  </si>
  <si>
    <t>Crataegus monogyna</t>
  </si>
  <si>
    <t>hloh jednosemenný</t>
  </si>
  <si>
    <t>Infekce kmene. Nejsou vidět kořenové náběhy.</t>
  </si>
  <si>
    <t>Quercus robur</t>
  </si>
  <si>
    <t>dub letní</t>
  </si>
  <si>
    <t>Zavěšená větev v koruně.</t>
  </si>
  <si>
    <t>Alnus glutinosa</t>
  </si>
  <si>
    <t>olše lepkavá</t>
  </si>
  <si>
    <t>Dukelská - Seifertova</t>
  </si>
  <si>
    <t>Nakloněný kmen.</t>
  </si>
  <si>
    <t>Tlaková vidlice vyvíjející se. Infekce větví.</t>
  </si>
  <si>
    <t>S-RB</t>
  </si>
  <si>
    <t>Řez bezpečnostní</t>
  </si>
  <si>
    <t>Picea omorika</t>
  </si>
  <si>
    <t>smrk omorika</t>
  </si>
  <si>
    <t>Dukelská - východní strana I</t>
  </si>
  <si>
    <t>Potlačit vyvíjející se tlakové vidlice.</t>
  </si>
  <si>
    <t>Potlačit slabší větev tlakové vidlice.</t>
  </si>
  <si>
    <t>Dukelská - východní strana II</t>
  </si>
  <si>
    <t>Vyvíjející se tlaková vidlice - sledovat.</t>
  </si>
  <si>
    <t>Folwark - nový - okolí</t>
  </si>
  <si>
    <t>Robinia pseudoacacia</t>
  </si>
  <si>
    <t>trnovník bílý</t>
  </si>
  <si>
    <t>Tlaková vidlice od báze.
Tlaková vidlice v kosterním větvení.</t>
  </si>
  <si>
    <t>Suché větve v koruně.</t>
  </si>
  <si>
    <t>10%</t>
  </si>
  <si>
    <t>Tlakové vidlice v kosterním větvení.
Sekundární koruna.
Infekce kmene.</t>
  </si>
  <si>
    <t>Frýdecká</t>
  </si>
  <si>
    <t>Potlačit slabší větev tlakové vidlice. Infekce kmene.</t>
  </si>
  <si>
    <t>S-RO</t>
  </si>
  <si>
    <t>Redukce obvodová</t>
  </si>
  <si>
    <t>Frýdecká - vedlejší odbočka</t>
  </si>
  <si>
    <t>garážoviště za tratí - u Beránka</t>
  </si>
  <si>
    <t>Salix alba</t>
  </si>
  <si>
    <t>vrba bílá</t>
  </si>
  <si>
    <t>Hřiště V. čtvrť</t>
  </si>
  <si>
    <t>Jmelí.</t>
  </si>
  <si>
    <t>Chopinova - Janáčkova</t>
  </si>
  <si>
    <t>Acer platanoides cv.</t>
  </si>
  <si>
    <t>javor mléčný cv.</t>
  </si>
  <si>
    <t>Defektní větvení.</t>
  </si>
  <si>
    <t>Poškození kořenů.</t>
  </si>
  <si>
    <t>Jablunkovská</t>
  </si>
  <si>
    <t>Odstranit jmelí.</t>
  </si>
  <si>
    <t>Tlaková vidlice vyvíjející se. Odstranit jmelí/ochmet. Nakloněný kmen.</t>
  </si>
  <si>
    <t>Infekce báze kmene. Tlaková vidlice vyvíjející se.</t>
  </si>
  <si>
    <t>Potlačit slabší větev vyvíjející se tlakové vidlice. Přihrnutá báze.</t>
  </si>
  <si>
    <t>Potlačit slabší větev vyvíjející se tlakové vidlice. Poškození kořenů.</t>
  </si>
  <si>
    <t>Infekce báze kmene. Sledovat. Poškození kořenů.</t>
  </si>
  <si>
    <t>20%</t>
  </si>
  <si>
    <t>Jablunkovská - parčík u MÚ</t>
  </si>
  <si>
    <t>Janáčkova - Boženy Němcové</t>
  </si>
  <si>
    <t>Thuja occidentalis</t>
  </si>
  <si>
    <t>túje západní</t>
  </si>
  <si>
    <t>Defektní větve.</t>
  </si>
  <si>
    <t>kpt. Nálepky</t>
  </si>
  <si>
    <t>V minulosti sesazený strom.</t>
  </si>
  <si>
    <t>Ke stadionu</t>
  </si>
  <si>
    <t>Nad korunou nadzemní vedení.</t>
  </si>
  <si>
    <t>Komenského</t>
  </si>
  <si>
    <t>Acer campestre ‘Elsrijk’</t>
  </si>
  <si>
    <t>javor polní ‘Elsrijk’</t>
  </si>
  <si>
    <t>Vyměnit.</t>
  </si>
  <si>
    <t>K-RV</t>
  </si>
  <si>
    <t>Symetrizovat.</t>
  </si>
  <si>
    <t>Komenského - parčík</t>
  </si>
  <si>
    <t>Tlaková vidlice.
 Sledovat.</t>
  </si>
  <si>
    <t>Poškození kořenů. Tlaková vidlice vyvíjející se.</t>
  </si>
  <si>
    <t>Tlakové vidlice v kosterním větvení - odlehčit větve nad cestou.</t>
  </si>
  <si>
    <t>Tlaková vidlice v kosterním větvení.
 Potlačit slabší větev vyvíjející se tlakové vidlice.</t>
  </si>
  <si>
    <t>Picea pungens ‘Glauca’</t>
  </si>
  <si>
    <t>smrk pichlavý ‘Glauca’</t>
  </si>
  <si>
    <t>Tlaková vidlice.</t>
  </si>
  <si>
    <t>Komenského - sídliště - pravá strana</t>
  </si>
  <si>
    <t>Tlaková vidlice. Infekce kmene.</t>
  </si>
  <si>
    <t>Larix decidua</t>
  </si>
  <si>
    <t>modřín opadavý</t>
  </si>
  <si>
    <t>Infekce báze kmene.</t>
  </si>
  <si>
    <t>Komenského -obytný dům</t>
  </si>
  <si>
    <t>Infekce kmene.</t>
  </si>
  <si>
    <t>Koperníkova</t>
  </si>
  <si>
    <t>Koperníkova - kpt.Nálepky</t>
  </si>
  <si>
    <t>Infekce kmene. Odstranit jmelí/ochmet.</t>
  </si>
  <si>
    <t>Nakloněný kmen. Poškození kořenů.</t>
  </si>
  <si>
    <t>Picea pungens</t>
  </si>
  <si>
    <t>smrk pichlavý</t>
  </si>
  <si>
    <t>Tlaková vidlice v koruně.
 Potlačit slabší větev vyvíjející se tlakové vidlice.</t>
  </si>
  <si>
    <t>Tlaková vidlice v kosterním větvení.
 Potlačit slabší větev vyvíjející se tlakové vidlice.
 Sledovat.</t>
  </si>
  <si>
    <t>Tlakové vidlice v koruně.</t>
  </si>
  <si>
    <t>Acer pseudoplatanus ‘Purpurascens’</t>
  </si>
  <si>
    <t>javor horský ‘Purpurascens’</t>
  </si>
  <si>
    <t>Koperníkova - Tyršova</t>
  </si>
  <si>
    <t>20 procent.</t>
  </si>
  <si>
    <t>Lidická</t>
  </si>
  <si>
    <t>Lidická - garáže</t>
  </si>
  <si>
    <t>Redukovat kmen s tlakovou vidlicí.</t>
  </si>
  <si>
    <t>Lidická - stromy ve svahu</t>
  </si>
  <si>
    <t>Tlaková vidlice v kosterním větvení. Zavalená trhlina v kosterní větvi.</t>
  </si>
  <si>
    <t>Lidická - Tyršova</t>
  </si>
  <si>
    <t>Potlačit vyvíjjející se tlakovou vidlici.</t>
  </si>
  <si>
    <t>Potlačit sekundární terminál. Tlaková vidlice od báze.</t>
  </si>
  <si>
    <t>Lidická - u čerpací stanice</t>
  </si>
  <si>
    <t>Odlehčit větve nad komunikací či chodníkem. 20 procent.</t>
  </si>
  <si>
    <t>25%</t>
  </si>
  <si>
    <t>Nádražní x Hřbitovní - za školou</t>
  </si>
  <si>
    <t>Asymetrická koruna.</t>
  </si>
  <si>
    <t>Předpoklad poškození kořenového systému Sledovat!</t>
  </si>
  <si>
    <t>Nádražní - před rybníkem</t>
  </si>
  <si>
    <t>Potlačit slabší větev vyvíjející se tlakové vidlice. Tlaková vidlice v kosterním větvení. Tlaková vidlice v koruně.</t>
  </si>
  <si>
    <t>Nádražní - před školou</t>
  </si>
  <si>
    <t>Pseudotsuga menziesii</t>
  </si>
  <si>
    <t>douglaska tisolistá</t>
  </si>
  <si>
    <t>Nádražní - u železáren</t>
  </si>
  <si>
    <t>Náměstí Míru I</t>
  </si>
  <si>
    <t>Catalpa bignonioides</t>
  </si>
  <si>
    <t>katalpa obecná</t>
  </si>
  <si>
    <t>Infekce kosterního větvení. Redukovat sekundární výhony.</t>
  </si>
  <si>
    <t>Náměstí Svobody II</t>
  </si>
  <si>
    <t>Robinia pseudoacacia ‘Unifolia’</t>
  </si>
  <si>
    <t>trnovník bílý ‘Unifolia’</t>
  </si>
  <si>
    <t>Nerudova - 17.listopadu - obytné domy</t>
  </si>
  <si>
    <t>Okrajová</t>
  </si>
  <si>
    <t>Okružní</t>
  </si>
  <si>
    <t>parčík U obracaja</t>
  </si>
  <si>
    <t>Plané výhony dominují.</t>
  </si>
  <si>
    <t>park Jablunkovská</t>
  </si>
  <si>
    <t>Potlačit vyvíjející se tlakovou vidlici.</t>
  </si>
  <si>
    <t>park Kanada</t>
  </si>
  <si>
    <t>Vyvijející se tlakové větvení.</t>
  </si>
  <si>
    <t>Vývoj tlakového větvení.</t>
  </si>
  <si>
    <t>Poškození báze kmene. Nalomená větev.</t>
  </si>
  <si>
    <t>park Lidická</t>
  </si>
  <si>
    <t>Výmladek.</t>
  </si>
  <si>
    <t>Acer saccharinum</t>
  </si>
  <si>
    <t>javor stříbrný</t>
  </si>
  <si>
    <t>Palackého</t>
  </si>
  <si>
    <t>Ulmus minor</t>
  </si>
  <si>
    <t>jilm habrolistý</t>
  </si>
  <si>
    <t>Infekce kosterního větvení - sledovat.</t>
  </si>
  <si>
    <t>Palackého strouha - vpravo</t>
  </si>
  <si>
    <t>Tlaková vidlice od báze. Alternativně pokácet.</t>
  </si>
  <si>
    <t>Palackého - garáže</t>
  </si>
  <si>
    <t>Palackého - sídliště</t>
  </si>
  <si>
    <t>Infekce báze kmene. Tlaková vidlice v koruně.</t>
  </si>
  <si>
    <t>sídl. Erbenova</t>
  </si>
  <si>
    <t>Infekce báze kmene. Podezření na infekci kořenů.</t>
  </si>
  <si>
    <t>Seifertova</t>
  </si>
  <si>
    <t>Tlakové vidlice.
 Potlačit slabší větev vyvíjející se tlakové vidlice.</t>
  </si>
  <si>
    <t>Poškozené kořeny.
 Sledovat.</t>
  </si>
  <si>
    <t>Seifertova - Lidická</t>
  </si>
  <si>
    <t>Potlačit jeden vrchol.</t>
  </si>
  <si>
    <t>Tilia x vulgaris</t>
  </si>
  <si>
    <t>lípa obecná</t>
  </si>
  <si>
    <t>Roste blízko budovy.</t>
  </si>
  <si>
    <t>Slezská</t>
  </si>
  <si>
    <t>Slezská - Horní</t>
  </si>
  <si>
    <t>Fagus sylvatica</t>
  </si>
  <si>
    <t>buk lesní</t>
  </si>
  <si>
    <t>Defektní větvení. Vitalitní sestup.</t>
  </si>
  <si>
    <t>Tlaková vidlice.
 Potlačit slabší větev vyvíjející se tlakové vidlice.
 Sledovat.</t>
  </si>
  <si>
    <t>Potlačit slabší větev vyvíjející se tlakové vidlice. Odstranit jmelí/ochmet.</t>
  </si>
  <si>
    <t>Nevhodná struktura větvení.</t>
  </si>
  <si>
    <t>Slezská - Koperníkova</t>
  </si>
  <si>
    <t>Potlačit slabší větev vyvíjející se tlakové vidlice.
 Poškozené kořeny.</t>
  </si>
  <si>
    <t>Pinus sylvestris</t>
  </si>
  <si>
    <t>borovice lesní</t>
  </si>
  <si>
    <t>Slezská - ZŠ</t>
  </si>
  <si>
    <t>Poškození kmene. Infekce kosterního větvení. Sledovat!</t>
  </si>
  <si>
    <t>SNP - Chopinova</t>
  </si>
  <si>
    <t>Infekce kmene - sledovat. Tlaková vidlice vyvíjející se.</t>
  </si>
  <si>
    <t>Třanovského II</t>
  </si>
  <si>
    <t>Tyršova</t>
  </si>
  <si>
    <t>Tyršova - u bazénu</t>
  </si>
  <si>
    <t>Potlačit slabší kmen vyvíjející se tlakové vidlice.</t>
  </si>
  <si>
    <t>Tyršova - u stadionu</t>
  </si>
  <si>
    <t>Vyvíjející se tlakové vidlice.
 Potlačit slabší větev vyvíjející se tlakové vidlice.</t>
  </si>
  <si>
    <t>Infekce kmene. Defektní větvení.</t>
  </si>
  <si>
    <t>Tlaková vidlice - sledovat.</t>
  </si>
  <si>
    <t>Vyvíjející se tlaková vidlice.</t>
  </si>
  <si>
    <t>T.G.Masaryka - SNP</t>
  </si>
  <si>
    <t>Gleditsia triacanthos</t>
  </si>
  <si>
    <t>dřezovec trojtrnný</t>
  </si>
  <si>
    <t>Potlačit slabší větve tlakových vidlic.</t>
  </si>
  <si>
    <t>Poškozené kořeny. Zlomy v koruně.</t>
  </si>
  <si>
    <t>https://www.stromypodkontrolou.cz/map/tree/eb9fcfc1-f6fa-405f-85c7-690b2fb79ecd/0c9b5ce2-5533-4e1e-a50d-8ce0b638375f</t>
  </si>
  <si>
    <t>Oprava nesprávně provedeného řezu.</t>
  </si>
  <si>
    <t>Infekce kmene, jmelí v koruně - odstranit.</t>
  </si>
  <si>
    <t>http://www.stromypodkontrolou.cz/map/tree/eb9fcfc1-f6fa-405f-85c7-690b2fb79ecd/e7cbb9ab-1eb2-4831-88a0-a62579c6f2e6</t>
  </si>
  <si>
    <t>http://www.stromypodkontrolou.cz/map/tree/eb9fcfc1-f6fa-405f-85c7-690b2fb79ecd/ea1026a1-b970-4954-8ee1-3355e54e9c56</t>
  </si>
  <si>
    <t>http://www.stromypodkontrolou.cz/map/tree/eb9fcfc1-f6fa-405f-85c7-690b2fb79ecd/08911cf5-037f-4618-8665-8cb50f372efc</t>
  </si>
  <si>
    <t>Přátelství - ulice</t>
  </si>
  <si>
    <t>Ulmus glabra</t>
  </si>
  <si>
    <t>jilm horský20</t>
  </si>
  <si>
    <t>http://www.stromypodkontrolou.cz/map/tree/eb9fcfc1-f6fa-405f-85c7-690b2fb79ecd/b8ae0f62-e9c3-4fe2-b999-a13f73589bcb</t>
  </si>
  <si>
    <t>S-OV</t>
  </si>
  <si>
    <t>Odstranění výmladků</t>
  </si>
  <si>
    <t>http://www.stromypodkontrolou.cz/map/tree/eb9fcfc1-f6fa-405f-85c7-690b2fb79ecd/a87239c5-cd9c-44fe-8993-062faee92f08</t>
  </si>
  <si>
    <t>http://www.stromypodkontrolou.cz/map/tree/eb9fcfc1-f6fa-405f-85c7-690b2fb79ecd/fb6afb29-9b2c-47c3-ae59-5eb8d2480a18</t>
  </si>
  <si>
    <t>http://www.stromypodkontrolou.cz/map/tree/eb9fcfc1-f6fa-405f-85c7-690b2fb79ecd/170b2371-f5a7-42f3-b119-57231006daf6</t>
  </si>
  <si>
    <t>http://www.stromypodkontrolou.cz/map/tree/eb9fcfc1-f6fa-405f-85c7-690b2fb79ecd/afbce86b-0616-4b43-84b8-0ffe56acdd49</t>
  </si>
  <si>
    <t>Odstranit jmelí/ochmet.</t>
  </si>
  <si>
    <t>http://www.stromypodkontrolou.cz/map/tree/eb9fcfc1-f6fa-405f-85c7-690b2fb79ecd/3ec07a10-61eb-4f7f-a99c-5a699110a397</t>
  </si>
  <si>
    <t>http://www.stromypodkontrolou.cz/map/tree/eb9fcfc1-f6fa-405f-85c7-690b2fb79ecd/313e9950-4b5d-4dc7-afe2-52a2b6f59a5c</t>
  </si>
  <si>
    <t>http://www.stromypodkontrolou.cz/map/tree/eb9fcfc1-f6fa-405f-85c7-690b2fb79ecd/5bb478d3-090d-4863-a8d4-e603cf5c48e9</t>
  </si>
  <si>
    <t>https://www.stromypodkontrolou.cz/map/tree/eb9fcfc1-f6fa-405f-85c7-690b2fb79ecd/2f56538c-28a6-4533-969e-620959b06af3</t>
  </si>
  <si>
    <t>http://www.stromypodkontrolou.cz/map/tree/eb9fcfc1-f6fa-405f-85c7-690b2fb79ecd/c1a153fc-308c-45bd-840b-151ef09a5fab</t>
  </si>
  <si>
    <t>http://www.stromypodkontrolou.cz/map/tree/eb9fcfc1-f6fa-405f-85c7-690b2fb79ecd/755d81a0-d7d6-4a13-aa4e-38592cb6652c</t>
  </si>
  <si>
    <t>http://www.stromypodkontrolou.cz/map/tree/eb9fcfc1-f6fa-405f-85c7-690b2fb79ecd/71933614-bcb0-4c68-8e8e-104785e27977</t>
  </si>
  <si>
    <t>http://www.stromypodkontrolou.cz/map/tree/eb9fcfc1-f6fa-405f-85c7-690b2fb79ecd/c2a6c1e2-616e-4583-86ed-3bf25ba91b50</t>
  </si>
  <si>
    <t>http://www.stromypodkontrolou.cz/map/tree/eb9fcfc1-f6fa-405f-85c7-690b2fb79ecd/812bf59c-1f02-4bb3-951b-67b7039f0dd7</t>
  </si>
  <si>
    <t>S-VDH</t>
  </si>
  <si>
    <t>Instalace dynamické vazby v horní úrovni</t>
  </si>
  <si>
    <t>https://www.stromypodkontrolou.cz/map/tree/eb9fcfc1-f6fa-405f-85c7-690b2fb79ecd/f6368248-f95e-42b7-a65e-8e1c48397001</t>
  </si>
  <si>
    <t>Snížení stromu o 3 m.</t>
  </si>
  <si>
    <t>https://www.stromypodkontrolou.cz/map/tree/eb9fcfc1-f6fa-405f-85c7-690b2fb79ecd/46864720-b7f6-4ae4-9072-9f7585bb6e5a</t>
  </si>
  <si>
    <t>http://www.stromypodkontrolou.cz/map/tree/eb9fcfc1-f6fa-405f-85c7-690b2fb79ecd/017f7b65-e4aa-4fbb-89fe-0c0f6825868a</t>
  </si>
  <si>
    <t>x Sorbopyrus auricularis</t>
  </si>
  <si>
    <t>hruškojeřáb ouškatý</t>
  </si>
  <si>
    <t>https://www.stromypodkontrolou.cz/map/tree/eb9fcfc1-f6fa-405f-85c7-690b2fb79ecd/06c2c39f-ab16-46db-a3f1-3f8f7b62d314</t>
  </si>
  <si>
    <t>https://www.stromypodkontrolou.cz/map/tree/eb9fcfc1-f6fa-405f-85c7-690b2fb79ecd/0b102530-04bb-4498-ab11-c1161facc842</t>
  </si>
  <si>
    <t>https://www.stromypodkontrolou.cz/map/tree/eb9fcfc1-f6fa-405f-85c7-690b2fb79ecd/03f00c1c-0d4e-4144-8e01-ba5b77b680d4</t>
  </si>
  <si>
    <t>https://www.stromypodkontrolou.cz/map/tree/eb9fcfc1-f6fa-405f-85c7-690b2fb79ecd/8e851176-283b-4750-b589-f8c5151c1151</t>
  </si>
  <si>
    <t>https://www.stromypodkontrolou.cz/map/tree/eb9fcfc1-f6fa-405f-85c7-690b2fb79ecd/a966e4e4-ece1-419d-9992-40c5ae7423c3</t>
  </si>
  <si>
    <t>https://www.stromypodkontrolou.cz/map/tree/eb9fcfc1-f6fa-405f-85c7-690b2fb79ecd/1800bd29-0fd1-4a22-bfb1-d85296ce75e3</t>
  </si>
  <si>
    <t>https://www.stromypodkontrolou.cz/map/tree/eb9fcfc1-f6fa-405f-85c7-690b2fb79ecd/075e7c5b-5747-4997-8c82-d29d7a75e744</t>
  </si>
  <si>
    <t>https://www.stromypodkontrolou.cz/map/tree/eb9fcfc1-f6fa-405f-85c7-690b2fb79ecd/9a91e621-bb0b-42f1-bfe3-1354cf74f402</t>
  </si>
  <si>
    <t>https://www.stromypodkontrolou.cz/map/tree/eb9fcfc1-f6fa-405f-85c7-690b2fb79ecd/16fd3c9a-be2f-4fe0-9a50-68b5efec2200</t>
  </si>
  <si>
    <t>https://www.stromypodkontrolou.cz/map/tree/eb9fcfc1-f6fa-405f-85c7-690b2fb79ecd/fc488770-5e0a-4d75-a551-045c9b54478e</t>
  </si>
  <si>
    <t>http://www.stromypodkontrolou.cz/map/tree/eb9fcfc1-f6fa-405f-85c7-690b2fb79ecd/cb47c171-8641-4999-b6e3-b830a6227815</t>
  </si>
  <si>
    <t>http://www.stromypodkontrolou.cz/map/tree/eb9fcfc1-f6fa-405f-85c7-690b2fb79ecd/505ea977-f808-43da-8a12-8440dd920016</t>
  </si>
  <si>
    <t>Číslo stromu</t>
  </si>
  <si>
    <t xml:space="preserve">Pořadové číslo </t>
  </si>
  <si>
    <t>Průměr kmene *</t>
  </si>
  <si>
    <t>Výška *</t>
  </si>
  <si>
    <t>Průměr koruny *</t>
  </si>
  <si>
    <t>Cena v Kč bez DPH **</t>
  </si>
  <si>
    <t xml:space="preserve">* Uvedené dendrometrické údaje (průměr kmene, výška a průměr koruny) se mohou odchylovat od skutečného stavu v souvislosti s datem hodnocení dřevin. </t>
  </si>
  <si>
    <t>** Cena zahrnuje  náklady spojené s přemístěním odstraněných větví, uložením na hromady, naložením na dopravní prostředek, odvozem a jejich následnou likvidací.</t>
  </si>
  <si>
    <t>Lyžbice</t>
  </si>
  <si>
    <t>Tilia cordata ‘Greenspire’</t>
  </si>
  <si>
    <t>lípa malolistá ‘Greenspire’</t>
  </si>
  <si>
    <t>1b. Folwark - starý (stromy)</t>
  </si>
  <si>
    <t>Nevhodný typ větvení. Redukovat slabší kmeny tlakových vidlic.</t>
  </si>
  <si>
    <t>Tlaková vidlice v kosterním větvení.
 V koruně již instalována bezpečnostní vazba - napnutá, povolit.</t>
  </si>
  <si>
    <t xml:space="preserve"> Infekce kmene. Bakteriální výtok.</t>
  </si>
  <si>
    <t>10 procent.</t>
  </si>
  <si>
    <t xml:space="preserve">Defektní větvení.
 V koruně již instalována bezpečnostní vazba - napnutá, povolit. Ošetřen proti klíněnce. </t>
  </si>
  <si>
    <t>Odlehčení nestabilních větví. 10 procent.</t>
  </si>
  <si>
    <t>2b. Folwark - nový I (stromy)</t>
  </si>
  <si>
    <t>Cerasus subhirtella ‘Pendula’</t>
  </si>
  <si>
    <t>třešeň chloupkatá ‘Pendula’</t>
  </si>
  <si>
    <t>Výsadba XI/2011 - Vavřík.</t>
  </si>
  <si>
    <t>Výsadba XI/2009 - Klusová.</t>
  </si>
  <si>
    <t>3b. Folwark - nový II (stromy)</t>
  </si>
  <si>
    <t>Fagus sylvatica ‘Atropunicea Fastigiata’</t>
  </si>
  <si>
    <t>buk lesní ‘Atropunicea Fastigiata’</t>
  </si>
  <si>
    <t xml:space="preserve"> Poškození kmene.</t>
  </si>
  <si>
    <t>Cerasus fruticosa ‘Globosa’</t>
  </si>
  <si>
    <t>třešeň křovitá ‘Globosa’</t>
  </si>
  <si>
    <t>Fagus sylvatica ‘Pendula’</t>
  </si>
  <si>
    <t>buk lesní ‘Pendula’</t>
  </si>
  <si>
    <t>Platanus x hispanica ‘Alphens Globe’</t>
  </si>
  <si>
    <t>platan javorolistý ‘Alphens Globe’</t>
  </si>
  <si>
    <t>5b. Nebory (stromy)</t>
  </si>
  <si>
    <t>Chamaecyparis pisifera</t>
  </si>
  <si>
    <t>cypřišek hrachonosný</t>
  </si>
  <si>
    <t xml:space="preserve"> Defektní větvení.</t>
  </si>
  <si>
    <t>Zhoršené stanovištní poměry, vrůstá do hrobu.  Tlaková vidlice v koruně.</t>
  </si>
  <si>
    <t>Potlačit tlakové větvení. 10 procent.</t>
  </si>
  <si>
    <t xml:space="preserve"> Tlaková vidlice v koruně. Zhoršené stanovištní poměry. </t>
  </si>
  <si>
    <t xml:space="preserve"> Defektní větvení. Vrůstá do hrobu. Zhoršené stanovištní poměry. </t>
  </si>
  <si>
    <t>10 procent. Odlehčení nestabilních větví.</t>
  </si>
  <si>
    <t>Poškozuje hrobní místo. Zhoršené stanovištní poměry.  Defektní větvení.</t>
  </si>
  <si>
    <t>Potlačit tlakové větvení.</t>
  </si>
  <si>
    <t>Mechanické poškození kmene. Zhoršené stanovištní poměry.  Defektní větvení.</t>
  </si>
  <si>
    <t>8b. Karpentná (stromy)</t>
  </si>
  <si>
    <t>Vrůstá do koruny sousedního stromu.</t>
  </si>
  <si>
    <t>Cena celkem v Kč bez DPH</t>
  </si>
  <si>
    <t>Příloha č. 2 ZD (budoucí příloha č. 1 smlouvy) - Položkový rozpočet arboristického ošetření dřevin v Třinci - léto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</si>
</sst>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0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0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6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 applyProtection="1">
      <alignment horizontal="left" textRotation="90" wrapText="1"/>
      <protection/>
    </xf>
    <xf numFmtId="0" fontId="2" fillId="0" borderId="0" xfId="0" applyFont="1" applyFill="1" applyBorder="1" applyAlignment="1">
      <alignment horizontal="left" textRotation="90" wrapText="1"/>
    </xf>
    <xf numFmtId="0" fontId="2" fillId="6" borderId="0" xfId="0" applyFont="1" applyFill="1" applyBorder="1" applyAlignment="1">
      <alignment horizontal="left" textRotation="90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1" fillId="23" borderId="10" xfId="0" applyFont="1" applyFill="1" applyBorder="1" applyAlignment="1">
      <alignment horizontal="left" wrapText="1"/>
    </xf>
    <xf numFmtId="0" fontId="1" fillId="34" borderId="10" xfId="0" applyFont="1" applyFill="1" applyBorder="1" applyAlignment="1" applyProtection="1">
      <alignment horizontal="left" wrapText="1"/>
      <protection/>
    </xf>
    <xf numFmtId="0" fontId="2" fillId="23" borderId="10" xfId="0" applyFont="1" applyFill="1" applyBorder="1" applyAlignment="1" applyProtection="1">
      <alignment horizontal="left" wrapText="1"/>
      <protection/>
    </xf>
    <xf numFmtId="0" fontId="1" fillId="23" borderId="0" xfId="0" applyFont="1" applyFill="1" applyBorder="1" applyAlignment="1">
      <alignment horizontal="left" wrapText="1"/>
    </xf>
    <xf numFmtId="0" fontId="1" fillId="23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left" wrapText="1"/>
      <protection/>
    </xf>
    <xf numFmtId="0" fontId="1" fillId="0" borderId="10" xfId="36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23" borderId="10" xfId="0" applyFont="1" applyFill="1" applyBorder="1" applyAlignment="1" applyProtection="1">
      <alignment wrapText="1"/>
      <protection/>
    </xf>
    <xf numFmtId="0" fontId="3" fillId="23" borderId="10" xfId="0" applyFont="1" applyFill="1" applyBorder="1" applyAlignment="1" applyProtection="1">
      <alignment horizontal="left" wrapText="1"/>
      <protection/>
    </xf>
    <xf numFmtId="0" fontId="1" fillId="23" borderId="10" xfId="36" applyFont="1" applyFill="1" applyBorder="1" applyAlignment="1" applyProtection="1">
      <alignment horizontal="left" wrapText="1"/>
      <protection/>
    </xf>
    <xf numFmtId="0" fontId="1" fillId="23" borderId="10" xfId="36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 horizontal="left" wrapText="1"/>
    </xf>
    <xf numFmtId="0" fontId="1" fillId="10" borderId="12" xfId="0" applyFont="1" applyFill="1" applyBorder="1" applyAlignment="1" applyProtection="1">
      <alignment horizontal="left" wrapText="1"/>
      <protection/>
    </xf>
    <xf numFmtId="0" fontId="2" fillId="10" borderId="12" xfId="0" applyFont="1" applyFill="1" applyBorder="1" applyAlignment="1" applyProtection="1">
      <alignment horizontal="left" wrapText="1"/>
      <protection/>
    </xf>
    <xf numFmtId="0" fontId="1" fillId="10" borderId="12" xfId="0" applyFont="1" applyFill="1" applyBorder="1" applyAlignment="1" applyProtection="1">
      <alignment horizontal="center" wrapText="1"/>
      <protection/>
    </xf>
    <xf numFmtId="0" fontId="2" fillId="10" borderId="12" xfId="0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23" borderId="10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left" wrapText="1"/>
      <protection/>
    </xf>
    <xf numFmtId="0" fontId="1" fillId="23" borderId="10" xfId="0" applyFont="1" applyFill="1" applyBorder="1" applyAlignment="1" applyProtection="1">
      <alignment horizontal="left" wrapText="1"/>
      <protection/>
    </xf>
    <xf numFmtId="0" fontId="2" fillId="23" borderId="10" xfId="0" applyFont="1" applyFill="1" applyBorder="1" applyAlignment="1" applyProtection="1">
      <alignment horizontal="left" wrapText="1"/>
      <protection/>
    </xf>
    <xf numFmtId="0" fontId="1" fillId="23" borderId="10" xfId="36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left" wrapText="1"/>
      <protection/>
    </xf>
    <xf numFmtId="0" fontId="1" fillId="0" borderId="10" xfId="36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0" fillId="36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mypodkontrolou.cz/map/tree/eb9fcfc1-f6fa-405f-85c7-690b2fb79ecd/ea1026a1-b970-4954-8ee1-3355e54e9c56" TargetMode="External" /><Relationship Id="rId2" Type="http://schemas.openxmlformats.org/officeDocument/2006/relationships/hyperlink" Target="https://www.stromypodkontrolou.cz/map/tree/eb9fcfc1-f6fa-405f-85c7-690b2fb79ecd/0c9b5ce2-5533-4e1e-a50d-8ce0b638375f" TargetMode="External" /><Relationship Id="rId3" Type="http://schemas.openxmlformats.org/officeDocument/2006/relationships/hyperlink" Target="http://www.stromypodkontrolou.cz/map/tree/eb9fcfc1-f6fa-405f-85c7-690b2fb79ecd/08911cf5-037f-4618-8665-8cb50f372efc" TargetMode="External" /><Relationship Id="rId4" Type="http://schemas.openxmlformats.org/officeDocument/2006/relationships/hyperlink" Target="http://www.stromypodkontrolou.cz/map/tree/eb9fcfc1-f6fa-405f-85c7-690b2fb79ecd/b8ae0f62-e9c3-4fe2-b999-a13f73589bcb" TargetMode="External" /><Relationship Id="rId5" Type="http://schemas.openxmlformats.org/officeDocument/2006/relationships/hyperlink" Target="http://www.stromypodkontrolou.cz/map/tree/eb9fcfc1-f6fa-405f-85c7-690b2fb79ecd/5bb478d3-090d-4863-a8d4-e603cf5c48e9" TargetMode="External" /><Relationship Id="rId6" Type="http://schemas.openxmlformats.org/officeDocument/2006/relationships/hyperlink" Target="https://www.stromypodkontrolou.cz/map/tree/eb9fcfc1-f6fa-405f-85c7-690b2fb79ecd/2f56538c-28a6-4533-969e-620959b06af3" TargetMode="External" /><Relationship Id="rId7" Type="http://schemas.openxmlformats.org/officeDocument/2006/relationships/hyperlink" Target="http://www.stromypodkontrolou.cz/map/tree/eb9fcfc1-f6fa-405f-85c7-690b2fb79ecd/c1a153fc-308c-45bd-840b-151ef09a5fab" TargetMode="External" /><Relationship Id="rId8" Type="http://schemas.openxmlformats.org/officeDocument/2006/relationships/hyperlink" Target="http://www.stromypodkontrolou.cz/map/tree/eb9fcfc1-f6fa-405f-85c7-690b2fb79ecd/755d81a0-d7d6-4a13-aa4e-38592cb6652c" TargetMode="External" /><Relationship Id="rId9" Type="http://schemas.openxmlformats.org/officeDocument/2006/relationships/hyperlink" Target="http://www.stromypodkontrolou.cz/map/tree/eb9fcfc1-f6fa-405f-85c7-690b2fb79ecd/71933614-bcb0-4c68-8e8e-104785e27977" TargetMode="External" /><Relationship Id="rId10" Type="http://schemas.openxmlformats.org/officeDocument/2006/relationships/hyperlink" Target="http://www.stromypodkontrolou.cz/map/tree/eb9fcfc1-f6fa-405f-85c7-690b2fb79ecd/c2a6c1e2-616e-4583-86ed-3bf25ba91b50" TargetMode="External" /><Relationship Id="rId11" Type="http://schemas.openxmlformats.org/officeDocument/2006/relationships/hyperlink" Target="http://www.stromypodkontrolou.cz/map/tree/eb9fcfc1-f6fa-405f-85c7-690b2fb79ecd/812bf59c-1f02-4bb3-951b-67b7039f0dd7" TargetMode="External" /><Relationship Id="rId12" Type="http://schemas.openxmlformats.org/officeDocument/2006/relationships/hyperlink" Target="https://www.stromypodkontrolou.cz/map/tree/eb9fcfc1-f6fa-405f-85c7-690b2fb79ecd/f6368248-f95e-42b7-a65e-8e1c48397001" TargetMode="External" /><Relationship Id="rId13" Type="http://schemas.openxmlformats.org/officeDocument/2006/relationships/hyperlink" Target="https://www.stromypodkontrolou.cz/map/tree/eb9fcfc1-f6fa-405f-85c7-690b2fb79ecd/46864720-b7f6-4ae4-9072-9f7585bb6e5a" TargetMode="External" /><Relationship Id="rId14" Type="http://schemas.openxmlformats.org/officeDocument/2006/relationships/hyperlink" Target="http://www.stromypodkontrolou.cz/map/tree/eb9fcfc1-f6fa-405f-85c7-690b2fb79ecd/017f7b65-e4aa-4fbb-89fe-0c0f6825868a" TargetMode="External" /><Relationship Id="rId15" Type="http://schemas.openxmlformats.org/officeDocument/2006/relationships/hyperlink" Target="https://www.stromypodkontrolou.cz/map/tree/eb9fcfc1-f6fa-405f-85c7-690b2fb79ecd/06c2c39f-ab16-46db-a3f1-3f8f7b62d314" TargetMode="External" /><Relationship Id="rId16" Type="http://schemas.openxmlformats.org/officeDocument/2006/relationships/hyperlink" Target="https://www.stromypodkontrolou.cz/map/tree/eb9fcfc1-f6fa-405f-85c7-690b2fb79ecd/0b102530-04bb-4498-ab11-c1161facc842" TargetMode="External" /><Relationship Id="rId17" Type="http://schemas.openxmlformats.org/officeDocument/2006/relationships/hyperlink" Target="https://www.stromypodkontrolou.cz/map/tree/eb9fcfc1-f6fa-405f-85c7-690b2fb79ecd/03f00c1c-0d4e-4144-8e01-ba5b77b680d4" TargetMode="External" /><Relationship Id="rId18" Type="http://schemas.openxmlformats.org/officeDocument/2006/relationships/hyperlink" Target="https://www.stromypodkontrolou.cz/map/tree/eb9fcfc1-f6fa-405f-85c7-690b2fb79ecd/8e851176-283b-4750-b589-f8c5151c1151" TargetMode="External" /><Relationship Id="rId19" Type="http://schemas.openxmlformats.org/officeDocument/2006/relationships/hyperlink" Target="https://www.stromypodkontrolou.cz/map/tree/eb9fcfc1-f6fa-405f-85c7-690b2fb79ecd/a966e4e4-ece1-419d-9992-40c5ae7423c3" TargetMode="External" /><Relationship Id="rId20" Type="http://schemas.openxmlformats.org/officeDocument/2006/relationships/hyperlink" Target="https://www.stromypodkontrolou.cz/map/tree/eb9fcfc1-f6fa-405f-85c7-690b2fb79ecd/1800bd29-0fd1-4a22-bfb1-d85296ce75e3" TargetMode="External" /><Relationship Id="rId21" Type="http://schemas.openxmlformats.org/officeDocument/2006/relationships/hyperlink" Target="https://www.stromypodkontrolou.cz/map/tree/eb9fcfc1-f6fa-405f-85c7-690b2fb79ecd/075e7c5b-5747-4997-8c82-d29d7a75e744" TargetMode="External" /><Relationship Id="rId22" Type="http://schemas.openxmlformats.org/officeDocument/2006/relationships/hyperlink" Target="https://www.stromypodkontrolou.cz/map/tree/eb9fcfc1-f6fa-405f-85c7-690b2fb79ecd/9a91e621-bb0b-42f1-bfe3-1354cf74f402" TargetMode="External" /><Relationship Id="rId23" Type="http://schemas.openxmlformats.org/officeDocument/2006/relationships/hyperlink" Target="https://www.stromypodkontrolou.cz/map/tree/eb9fcfc1-f6fa-405f-85c7-690b2fb79ecd/16fd3c9a-be2f-4fe0-9a50-68b5efec2200" TargetMode="External" /><Relationship Id="rId24" Type="http://schemas.openxmlformats.org/officeDocument/2006/relationships/hyperlink" Target="https://www.stromypodkontrolou.cz/map/tree/eb9fcfc1-f6fa-405f-85c7-690b2fb79ecd/fc488770-5e0a-4d75-a551-045c9b54478e" TargetMode="External" /><Relationship Id="rId25" Type="http://schemas.openxmlformats.org/officeDocument/2006/relationships/hyperlink" Target="http://www.stromypodkontrolou.cz/map/tree/eb9fcfc1-f6fa-405f-85c7-690b2fb79ecd/cb47c171-8641-4999-b6e3-b830a6227815" TargetMode="External" /><Relationship Id="rId26" Type="http://schemas.openxmlformats.org/officeDocument/2006/relationships/hyperlink" Target="http://www.stromypodkontrolou.cz/map/tree/eb9fcfc1-f6fa-405f-85c7-690b2fb79ecd/505ea977-f808-43da-8a12-8440dd920016" TargetMode="External" /><Relationship Id="rId27" Type="http://schemas.openxmlformats.org/officeDocument/2006/relationships/hyperlink" Target="http://www.stromypodkontrolou.cz/map/tree/eb9fcfc1-f6fa-405f-85c7-690b2fb79ecd/505ea977-f808-43da-8a12-8440dd920016" TargetMode="External" /><Relationship Id="rId28" Type="http://schemas.openxmlformats.org/officeDocument/2006/relationships/hyperlink" Target="http://www.stromypodkontrolou.cz/map/tree/eb9fcfc1-f6fa-405f-85c7-690b2fb79ecd/e7cbb9ab-1eb2-4831-88a0-a62579c6f2e6" TargetMode="External" /><Relationship Id="rId29" Type="http://schemas.openxmlformats.org/officeDocument/2006/relationships/hyperlink" Target="http://www.stromypodkontrolou.cz/map/tree/eb9fcfc1-f6fa-405f-85c7-690b2fb79ecd/afbce86b-0616-4b43-84b8-0ffe56acdd49" TargetMode="External" /><Relationship Id="rId30" Type="http://schemas.openxmlformats.org/officeDocument/2006/relationships/hyperlink" Target="http://www.stromypodkontrolou.cz/map/tree/eb9fcfc1-f6fa-405f-85c7-690b2fb79ecd/fb6afb29-9b2c-47c3-ae59-5eb8d2480a18" TargetMode="External" /><Relationship Id="rId31" Type="http://schemas.openxmlformats.org/officeDocument/2006/relationships/hyperlink" Target="http://www.stromypodkontrolou.cz/map/tree/eb9fcfc1-f6fa-405f-85c7-690b2fb79ecd/170b2371-f5a7-42f3-b119-57231006daf6" TargetMode="External" /><Relationship Id="rId32" Type="http://schemas.openxmlformats.org/officeDocument/2006/relationships/hyperlink" Target="http://www.stromypodkontrolou.cz/map/tree/eb9fcfc1-f6fa-405f-85c7-690b2fb79ecd/a87239c5-cd9c-44fe-8993-062faee92f08" TargetMode="External" /><Relationship Id="rId33" Type="http://schemas.openxmlformats.org/officeDocument/2006/relationships/hyperlink" Target="http://www.stromypodkontrolou.cz/map/tree/eb9fcfc1-f6fa-405f-85c7-690b2fb79ecd/3ec07a10-61eb-4f7f-a99c-5a699110a397" TargetMode="External" /><Relationship Id="rId34" Type="http://schemas.openxmlformats.org/officeDocument/2006/relationships/hyperlink" Target="http://www.stromypodkontrolou.cz/map/tree/eb9fcfc1-f6fa-405f-85c7-690b2fb79ecd/313e9950-4b5d-4dc7-afe2-52a2b6f59a5c" TargetMode="External" /><Relationship Id="rId35" Type="http://schemas.openxmlformats.org/officeDocument/2006/relationships/comments" Target="../comments1.xml" /><Relationship Id="rId36" Type="http://schemas.openxmlformats.org/officeDocument/2006/relationships/vmlDrawing" Target="../drawings/vmlDrawing1.v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Y627"/>
  <sheetViews>
    <sheetView tabSelected="1" zoomScalePageLayoutView="0" workbookViewId="0" topLeftCell="A1">
      <selection activeCell="M5" sqref="M5:M6"/>
    </sheetView>
  </sheetViews>
  <sheetFormatPr defaultColWidth="9.140625" defaultRowHeight="12.75"/>
  <cols>
    <col min="1" max="1" width="4.421875" style="2" customWidth="1"/>
    <col min="2" max="2" width="14.00390625" style="2" customWidth="1"/>
    <col min="3" max="3" width="4.28125" style="27" customWidth="1"/>
    <col min="4" max="4" width="12.140625" style="2" customWidth="1"/>
    <col min="5" max="5" width="10.57421875" style="2" customWidth="1"/>
    <col min="6" max="7" width="4.7109375" style="2" customWidth="1"/>
    <col min="8" max="8" width="3.28125" style="2" customWidth="1"/>
    <col min="9" max="9" width="15.140625" style="2" customWidth="1"/>
    <col min="10" max="10" width="8.140625" style="2" customWidth="1"/>
    <col min="11" max="11" width="26.57421875" style="2" customWidth="1"/>
    <col min="12" max="12" width="16.00390625" style="2" customWidth="1"/>
    <col min="13" max="13" width="34.421875" style="2" customWidth="1"/>
    <col min="14" max="14" width="10.00390625" style="2" customWidth="1"/>
    <col min="15" max="207" width="9.140625" style="3" customWidth="1"/>
    <col min="208" max="16384" width="9.140625" style="2" customWidth="1"/>
  </cols>
  <sheetData>
    <row r="1" ht="11.25"/>
    <row r="2" spans="1:207" s="30" customFormat="1" ht="15.75">
      <c r="A2" s="28"/>
      <c r="B2" s="29" t="s">
        <v>364</v>
      </c>
      <c r="C2" s="29"/>
      <c r="D2" s="29"/>
      <c r="E2" s="29"/>
      <c r="F2" s="29"/>
      <c r="G2" s="29"/>
      <c r="H2" s="29"/>
      <c r="I2" s="29"/>
      <c r="J2" s="29"/>
      <c r="K2" s="28"/>
      <c r="L2" s="28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</row>
    <row r="3" spans="1:12" ht="11.25">
      <c r="A3" s="1"/>
      <c r="B3" s="4"/>
      <c r="C3" s="4"/>
      <c r="D3" s="4"/>
      <c r="E3" s="4"/>
      <c r="F3" s="4"/>
      <c r="G3" s="4"/>
      <c r="H3" s="4"/>
      <c r="I3" s="4"/>
      <c r="J3" s="4"/>
      <c r="K3" s="1"/>
      <c r="L3" s="1"/>
    </row>
    <row r="4" spans="1:207" s="8" customFormat="1" ht="90" customHeight="1">
      <c r="A4" s="5" t="s">
        <v>317</v>
      </c>
      <c r="B4" s="6" t="s">
        <v>0</v>
      </c>
      <c r="C4" s="6" t="s">
        <v>316</v>
      </c>
      <c r="D4" s="6" t="s">
        <v>1</v>
      </c>
      <c r="E4" s="6" t="s">
        <v>2</v>
      </c>
      <c r="F4" s="6" t="s">
        <v>318</v>
      </c>
      <c r="G4" s="6" t="s">
        <v>319</v>
      </c>
      <c r="H4" s="6" t="s">
        <v>320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321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</row>
    <row r="5" spans="1:14" s="3" customFormat="1" ht="22.5">
      <c r="A5" s="9">
        <v>1</v>
      </c>
      <c r="B5" s="38" t="s">
        <v>8</v>
      </c>
      <c r="C5" s="41">
        <v>4</v>
      </c>
      <c r="D5" s="38" t="s">
        <v>9</v>
      </c>
      <c r="E5" s="38" t="s">
        <v>10</v>
      </c>
      <c r="F5" s="38">
        <v>39</v>
      </c>
      <c r="G5" s="38">
        <v>13</v>
      </c>
      <c r="H5" s="38">
        <v>6</v>
      </c>
      <c r="I5" s="38" t="s">
        <v>11</v>
      </c>
      <c r="J5" s="10" t="s">
        <v>12</v>
      </c>
      <c r="K5" s="10" t="s">
        <v>13</v>
      </c>
      <c r="L5" s="42"/>
      <c r="M5" s="38" t="str">
        <f>HYPERLINK("http://www.stromypodkontrolou.cz/map/tree/eb9fcfc1-f6fa-405f-85c7-690b2fb79ecd/f78312a6-3fdb-4e49-8e3f-9aa25c8d5de8")</f>
        <v>http://www.stromypodkontrolou.cz/map/tree/eb9fcfc1-f6fa-405f-85c7-690b2fb79ecd/f78312a6-3fdb-4e49-8e3f-9aa25c8d5de8</v>
      </c>
      <c r="N5" s="53"/>
    </row>
    <row r="6" spans="1:14" s="3" customFormat="1" ht="14.25" customHeight="1">
      <c r="A6" s="9">
        <v>2</v>
      </c>
      <c r="B6" s="38"/>
      <c r="C6" s="41"/>
      <c r="D6" s="38"/>
      <c r="E6" s="38"/>
      <c r="F6" s="38"/>
      <c r="G6" s="38"/>
      <c r="H6" s="38">
        <v>6</v>
      </c>
      <c r="I6" s="38" t="s">
        <v>11</v>
      </c>
      <c r="J6" s="10" t="s">
        <v>14</v>
      </c>
      <c r="K6" s="10" t="s">
        <v>15</v>
      </c>
      <c r="L6" s="42"/>
      <c r="M6" s="38"/>
      <c r="N6" s="53"/>
    </row>
    <row r="7" spans="1:207" s="15" customFormat="1" ht="45">
      <c r="A7" s="12">
        <v>3</v>
      </c>
      <c r="B7" s="13" t="s">
        <v>8</v>
      </c>
      <c r="C7" s="14">
        <v>6</v>
      </c>
      <c r="D7" s="13" t="s">
        <v>9</v>
      </c>
      <c r="E7" s="13" t="s">
        <v>10</v>
      </c>
      <c r="F7" s="13">
        <v>35</v>
      </c>
      <c r="G7" s="13">
        <v>17</v>
      </c>
      <c r="H7" s="13">
        <v>8</v>
      </c>
      <c r="I7" s="13" t="s">
        <v>16</v>
      </c>
      <c r="J7" s="13" t="s">
        <v>14</v>
      </c>
      <c r="K7" s="13" t="s">
        <v>15</v>
      </c>
      <c r="L7" s="13" t="s">
        <v>17</v>
      </c>
      <c r="M7" s="13" t="str">
        <f>HYPERLINK("http://www.stromypodkontrolou.cz/map/tree/eb9fcfc1-f6fa-405f-85c7-690b2fb79ecd/4f5eca74-5a33-46c6-a8f2-bf276f500e4a")</f>
        <v>http://www.stromypodkontrolou.cz/map/tree/eb9fcfc1-f6fa-405f-85c7-690b2fb79ecd/4f5eca74-5a33-46c6-a8f2-bf276f500e4a</v>
      </c>
      <c r="N7" s="5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</row>
    <row r="8" spans="1:14" s="3" customFormat="1" ht="22.5">
      <c r="A8" s="9">
        <v>4</v>
      </c>
      <c r="B8" s="38" t="s">
        <v>8</v>
      </c>
      <c r="C8" s="41">
        <v>12</v>
      </c>
      <c r="D8" s="38" t="s">
        <v>9</v>
      </c>
      <c r="E8" s="38" t="s">
        <v>10</v>
      </c>
      <c r="F8" s="38">
        <v>38</v>
      </c>
      <c r="G8" s="38">
        <v>12</v>
      </c>
      <c r="H8" s="38">
        <v>8</v>
      </c>
      <c r="I8" s="38" t="s">
        <v>18</v>
      </c>
      <c r="J8" s="10" t="s">
        <v>19</v>
      </c>
      <c r="K8" s="10" t="s">
        <v>20</v>
      </c>
      <c r="L8" s="10"/>
      <c r="M8" s="38" t="str">
        <f>HYPERLINK("http://www.stromypodkontrolou.cz/map/tree/eb9fcfc1-f6fa-405f-85c7-690b2fb79ecd/3b0e72f3-1e05-4b28-b9f0-48d688fc78a4")</f>
        <v>http://www.stromypodkontrolou.cz/map/tree/eb9fcfc1-f6fa-405f-85c7-690b2fb79ecd/3b0e72f3-1e05-4b28-b9f0-48d688fc78a4</v>
      </c>
      <c r="N8" s="53"/>
    </row>
    <row r="9" spans="1:14" s="3" customFormat="1" ht="25.5" customHeight="1">
      <c r="A9" s="9">
        <v>5</v>
      </c>
      <c r="B9" s="38" t="s">
        <v>8</v>
      </c>
      <c r="C9" s="41"/>
      <c r="D9" s="38" t="s">
        <v>9</v>
      </c>
      <c r="E9" s="38" t="s">
        <v>10</v>
      </c>
      <c r="F9" s="38">
        <v>38</v>
      </c>
      <c r="G9" s="38">
        <v>12</v>
      </c>
      <c r="H9" s="38">
        <v>8</v>
      </c>
      <c r="I9" s="38" t="s">
        <v>18</v>
      </c>
      <c r="J9" s="10" t="s">
        <v>14</v>
      </c>
      <c r="K9" s="10" t="s">
        <v>15</v>
      </c>
      <c r="L9" s="10" t="s">
        <v>17</v>
      </c>
      <c r="M9" s="38"/>
      <c r="N9" s="53"/>
    </row>
    <row r="10" spans="1:207" s="15" customFormat="1" ht="12.75">
      <c r="A10" s="12">
        <v>6</v>
      </c>
      <c r="B10" s="45" t="s">
        <v>8</v>
      </c>
      <c r="C10" s="49">
        <v>18</v>
      </c>
      <c r="D10" s="45" t="s">
        <v>9</v>
      </c>
      <c r="E10" s="45" t="s">
        <v>10</v>
      </c>
      <c r="F10" s="45">
        <v>29</v>
      </c>
      <c r="G10" s="45">
        <v>12</v>
      </c>
      <c r="H10" s="45">
        <v>5</v>
      </c>
      <c r="I10" s="45" t="s">
        <v>21</v>
      </c>
      <c r="J10" s="13" t="s">
        <v>14</v>
      </c>
      <c r="K10" s="13" t="s">
        <v>15</v>
      </c>
      <c r="L10" s="13"/>
      <c r="M10" s="45" t="str">
        <f>HYPERLINK("http://www.stromypodkontrolou.cz/map/tree/eb9fcfc1-f6fa-405f-85c7-690b2fb79ecd/a3d9bf89-3372-4af8-b5bd-77ab68d46345")</f>
        <v>http://www.stromypodkontrolou.cz/map/tree/eb9fcfc1-f6fa-405f-85c7-690b2fb79ecd/a3d9bf89-3372-4af8-b5bd-77ab68d46345</v>
      </c>
      <c r="N10" s="5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</row>
    <row r="11" spans="1:207" s="15" customFormat="1" ht="34.5" customHeight="1">
      <c r="A11" s="12">
        <v>7</v>
      </c>
      <c r="B11" s="45"/>
      <c r="C11" s="49">
        <v>18</v>
      </c>
      <c r="D11" s="45" t="s">
        <v>9</v>
      </c>
      <c r="E11" s="45" t="s">
        <v>10</v>
      </c>
      <c r="F11" s="45">
        <v>29</v>
      </c>
      <c r="G11" s="45">
        <v>12</v>
      </c>
      <c r="H11" s="45">
        <v>5</v>
      </c>
      <c r="I11" s="45" t="s">
        <v>21</v>
      </c>
      <c r="J11" s="13" t="s">
        <v>12</v>
      </c>
      <c r="K11" s="13" t="s">
        <v>13</v>
      </c>
      <c r="L11" s="13" t="s">
        <v>17</v>
      </c>
      <c r="M11" s="45"/>
      <c r="N11" s="5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</row>
    <row r="12" spans="1:14" s="3" customFormat="1" ht="22.5">
      <c r="A12" s="9">
        <v>8</v>
      </c>
      <c r="B12" s="38" t="s">
        <v>8</v>
      </c>
      <c r="C12" s="41">
        <v>21</v>
      </c>
      <c r="D12" s="38" t="s">
        <v>9</v>
      </c>
      <c r="E12" s="38" t="s">
        <v>10</v>
      </c>
      <c r="F12" s="38">
        <v>48</v>
      </c>
      <c r="G12" s="38">
        <v>19</v>
      </c>
      <c r="H12" s="38">
        <v>7</v>
      </c>
      <c r="I12" s="38" t="s">
        <v>18</v>
      </c>
      <c r="J12" s="10" t="s">
        <v>19</v>
      </c>
      <c r="K12" s="10" t="s">
        <v>20</v>
      </c>
      <c r="L12" s="10"/>
      <c r="M12" s="38" t="str">
        <f>HYPERLINK("http://www.stromypodkontrolou.cz/map/tree/eb9fcfc1-f6fa-405f-85c7-690b2fb79ecd/c000faae-d53a-47a5-baa8-933342c27787")</f>
        <v>http://www.stromypodkontrolou.cz/map/tree/eb9fcfc1-f6fa-405f-85c7-690b2fb79ecd/c000faae-d53a-47a5-baa8-933342c27787</v>
      </c>
      <c r="N12" s="53"/>
    </row>
    <row r="13" spans="1:14" s="3" customFormat="1" ht="22.5">
      <c r="A13" s="9">
        <v>9</v>
      </c>
      <c r="B13" s="38" t="s">
        <v>8</v>
      </c>
      <c r="C13" s="41"/>
      <c r="D13" s="38" t="s">
        <v>9</v>
      </c>
      <c r="E13" s="38" t="s">
        <v>10</v>
      </c>
      <c r="F13" s="38">
        <v>48</v>
      </c>
      <c r="G13" s="38">
        <v>19</v>
      </c>
      <c r="H13" s="38">
        <v>7</v>
      </c>
      <c r="I13" s="38" t="s">
        <v>18</v>
      </c>
      <c r="J13" s="10" t="s">
        <v>14</v>
      </c>
      <c r="K13" s="10" t="s">
        <v>15</v>
      </c>
      <c r="L13" s="10" t="s">
        <v>22</v>
      </c>
      <c r="M13" s="38"/>
      <c r="N13" s="53"/>
    </row>
    <row r="14" spans="1:207" s="15" customFormat="1" ht="22.5">
      <c r="A14" s="12">
        <v>10</v>
      </c>
      <c r="B14" s="45" t="s">
        <v>8</v>
      </c>
      <c r="C14" s="49">
        <v>24</v>
      </c>
      <c r="D14" s="45" t="s">
        <v>9</v>
      </c>
      <c r="E14" s="45" t="s">
        <v>10</v>
      </c>
      <c r="F14" s="45">
        <v>44</v>
      </c>
      <c r="G14" s="45">
        <v>18</v>
      </c>
      <c r="H14" s="45">
        <v>9</v>
      </c>
      <c r="I14" s="44"/>
      <c r="J14" s="13" t="s">
        <v>12</v>
      </c>
      <c r="K14" s="13" t="s">
        <v>13</v>
      </c>
      <c r="L14" s="13" t="s">
        <v>22</v>
      </c>
      <c r="M14" s="45" t="str">
        <f>HYPERLINK("http://www.stromypodkontrolou.cz/map/tree/eb9fcfc1-f6fa-405f-85c7-690b2fb79ecd/c3f90d76-a625-4c70-8cbf-1d8e87119d2b")</f>
        <v>http://www.stromypodkontrolou.cz/map/tree/eb9fcfc1-f6fa-405f-85c7-690b2fb79ecd/c3f90d76-a625-4c70-8cbf-1d8e87119d2b</v>
      </c>
      <c r="N14" s="5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5" customFormat="1" ht="12.75">
      <c r="A15" s="12">
        <v>11</v>
      </c>
      <c r="B15" s="45" t="s">
        <v>8</v>
      </c>
      <c r="C15" s="49"/>
      <c r="D15" s="45" t="s">
        <v>9</v>
      </c>
      <c r="E15" s="45" t="s">
        <v>10</v>
      </c>
      <c r="F15" s="45">
        <v>44</v>
      </c>
      <c r="G15" s="45">
        <v>18</v>
      </c>
      <c r="H15" s="45">
        <v>9</v>
      </c>
      <c r="I15" s="44"/>
      <c r="J15" s="13" t="s">
        <v>14</v>
      </c>
      <c r="K15" s="13" t="s">
        <v>15</v>
      </c>
      <c r="L15" s="13"/>
      <c r="M15" s="45" t="str">
        <f>HYPERLINK("http://www.stromypodkontrolou.cz/map/tree/eb9fcfc1-f6fa-405f-85c7-690b2fb79ecd/c3f90d76-a625-4c70-8cbf-1d8e87119d2b")</f>
        <v>http://www.stromypodkontrolou.cz/map/tree/eb9fcfc1-f6fa-405f-85c7-690b2fb79ecd/c3f90d76-a625-4c70-8cbf-1d8e87119d2b</v>
      </c>
      <c r="N15" s="5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14" s="3" customFormat="1" ht="25.5" customHeight="1">
      <c r="A16" s="9">
        <v>12</v>
      </c>
      <c r="B16" s="38" t="s">
        <v>8</v>
      </c>
      <c r="C16" s="41">
        <v>25</v>
      </c>
      <c r="D16" s="38" t="s">
        <v>9</v>
      </c>
      <c r="E16" s="38" t="s">
        <v>10</v>
      </c>
      <c r="F16" s="38">
        <v>36</v>
      </c>
      <c r="G16" s="38">
        <v>19</v>
      </c>
      <c r="H16" s="38">
        <v>4</v>
      </c>
      <c r="I16" s="38" t="s">
        <v>23</v>
      </c>
      <c r="J16" s="10" t="s">
        <v>12</v>
      </c>
      <c r="K16" s="10" t="s">
        <v>13</v>
      </c>
      <c r="L16" s="10" t="s">
        <v>17</v>
      </c>
      <c r="M16" s="38" t="str">
        <f>HYPERLINK("http://www.stromypodkontrolou.cz/map/tree/eb9fcfc1-f6fa-405f-85c7-690b2fb79ecd/dad3fdba-0d07-4e35-9d34-11bcfeee4051")</f>
        <v>http://www.stromypodkontrolou.cz/map/tree/eb9fcfc1-f6fa-405f-85c7-690b2fb79ecd/dad3fdba-0d07-4e35-9d34-11bcfeee4051</v>
      </c>
      <c r="N16" s="53"/>
    </row>
    <row r="17" spans="1:14" s="3" customFormat="1" ht="12.75">
      <c r="A17" s="9">
        <v>13</v>
      </c>
      <c r="B17" s="38" t="s">
        <v>8</v>
      </c>
      <c r="C17" s="41">
        <v>25</v>
      </c>
      <c r="D17" s="38" t="s">
        <v>9</v>
      </c>
      <c r="E17" s="38" t="s">
        <v>10</v>
      </c>
      <c r="F17" s="38">
        <v>36</v>
      </c>
      <c r="G17" s="38">
        <v>19</v>
      </c>
      <c r="H17" s="38">
        <v>4</v>
      </c>
      <c r="I17" s="38" t="s">
        <v>23</v>
      </c>
      <c r="J17" s="10" t="s">
        <v>14</v>
      </c>
      <c r="K17" s="10" t="s">
        <v>15</v>
      </c>
      <c r="L17" s="10"/>
      <c r="M17" s="38" t="str">
        <f>HYPERLINK("http://www.stromypodkontrolou.cz/map/tree/eb9fcfc1-f6fa-405f-85c7-690b2fb79ecd/dad3fdba-0d07-4e35-9d34-11bcfeee4051")</f>
        <v>http://www.stromypodkontrolou.cz/map/tree/eb9fcfc1-f6fa-405f-85c7-690b2fb79ecd/dad3fdba-0d07-4e35-9d34-11bcfeee4051</v>
      </c>
      <c r="N17" s="53"/>
    </row>
    <row r="18" spans="1:207" s="15" customFormat="1" ht="22.5">
      <c r="A18" s="12">
        <v>14</v>
      </c>
      <c r="B18" s="45" t="s">
        <v>8</v>
      </c>
      <c r="C18" s="49">
        <v>31</v>
      </c>
      <c r="D18" s="45" t="s">
        <v>9</v>
      </c>
      <c r="E18" s="45" t="s">
        <v>10</v>
      </c>
      <c r="F18" s="45">
        <v>54</v>
      </c>
      <c r="G18" s="45">
        <v>21</v>
      </c>
      <c r="H18" s="45">
        <v>11</v>
      </c>
      <c r="I18" s="45"/>
      <c r="J18" s="16" t="s">
        <v>12</v>
      </c>
      <c r="K18" s="16" t="s">
        <v>13</v>
      </c>
      <c r="L18" s="16" t="s">
        <v>22</v>
      </c>
      <c r="M18" s="45" t="s">
        <v>290</v>
      </c>
      <c r="N18" s="5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</row>
    <row r="19" spans="1:207" s="15" customFormat="1" ht="12.75">
      <c r="A19" s="12">
        <v>15</v>
      </c>
      <c r="B19" s="45" t="s">
        <v>8</v>
      </c>
      <c r="C19" s="49"/>
      <c r="D19" s="45" t="s">
        <v>9</v>
      </c>
      <c r="E19" s="45" t="s">
        <v>10</v>
      </c>
      <c r="F19" s="45"/>
      <c r="G19" s="45"/>
      <c r="H19" s="45"/>
      <c r="I19" s="45"/>
      <c r="J19" s="16" t="s">
        <v>14</v>
      </c>
      <c r="K19" s="16" t="s">
        <v>15</v>
      </c>
      <c r="L19" s="16"/>
      <c r="M19" s="45"/>
      <c r="N19" s="5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</row>
    <row r="20" spans="1:14" s="3" customFormat="1" ht="22.5">
      <c r="A20" s="9">
        <v>16</v>
      </c>
      <c r="B20" s="38" t="s">
        <v>8</v>
      </c>
      <c r="C20" s="41">
        <v>36</v>
      </c>
      <c r="D20" s="38" t="s">
        <v>9</v>
      </c>
      <c r="E20" s="38" t="s">
        <v>10</v>
      </c>
      <c r="F20" s="38">
        <v>33</v>
      </c>
      <c r="G20" s="38">
        <v>15</v>
      </c>
      <c r="H20" s="38">
        <v>5</v>
      </c>
      <c r="I20" s="38" t="s">
        <v>24</v>
      </c>
      <c r="J20" s="10" t="s">
        <v>12</v>
      </c>
      <c r="K20" s="10" t="s">
        <v>13</v>
      </c>
      <c r="L20" s="42"/>
      <c r="M20" s="38" t="str">
        <f>HYPERLINK("http://www.stromypodkontrolou.cz/map/tree/eb9fcfc1-f6fa-405f-85c7-690b2fb79ecd/9403371f-51fa-428c-9627-794fb3bbcdf2")</f>
        <v>http://www.stromypodkontrolou.cz/map/tree/eb9fcfc1-f6fa-405f-85c7-690b2fb79ecd/9403371f-51fa-428c-9627-794fb3bbcdf2</v>
      </c>
      <c r="N20" s="53"/>
    </row>
    <row r="21" spans="1:14" s="3" customFormat="1" ht="12.75">
      <c r="A21" s="9">
        <v>17</v>
      </c>
      <c r="B21" s="38" t="s">
        <v>8</v>
      </c>
      <c r="C21" s="41">
        <v>36</v>
      </c>
      <c r="D21" s="38" t="s">
        <v>9</v>
      </c>
      <c r="E21" s="38" t="s">
        <v>10</v>
      </c>
      <c r="F21" s="38">
        <v>33</v>
      </c>
      <c r="G21" s="38">
        <v>15</v>
      </c>
      <c r="H21" s="38">
        <v>5</v>
      </c>
      <c r="I21" s="38" t="s">
        <v>24</v>
      </c>
      <c r="J21" s="10" t="s">
        <v>14</v>
      </c>
      <c r="K21" s="10" t="s">
        <v>15</v>
      </c>
      <c r="L21" s="42"/>
      <c r="M21" s="38" t="str">
        <f>HYPERLINK("http://www.stromypodkontrolou.cz/map/tree/eb9fcfc1-f6fa-405f-85c7-690b2fb79ecd/9403371f-51fa-428c-9627-794fb3bbcdf2")</f>
        <v>http://www.stromypodkontrolou.cz/map/tree/eb9fcfc1-f6fa-405f-85c7-690b2fb79ecd/9403371f-51fa-428c-9627-794fb3bbcdf2</v>
      </c>
      <c r="N21" s="53"/>
    </row>
    <row r="22" spans="1:207" s="15" customFormat="1" ht="12.75">
      <c r="A22" s="12">
        <v>18</v>
      </c>
      <c r="B22" s="46" t="s">
        <v>8</v>
      </c>
      <c r="C22" s="47">
        <v>38</v>
      </c>
      <c r="D22" s="46" t="s">
        <v>9</v>
      </c>
      <c r="E22" s="46" t="s">
        <v>10</v>
      </c>
      <c r="F22" s="46">
        <v>37</v>
      </c>
      <c r="G22" s="46">
        <v>15</v>
      </c>
      <c r="H22" s="46">
        <v>5</v>
      </c>
      <c r="I22" s="46" t="s">
        <v>21</v>
      </c>
      <c r="J22" s="16" t="s">
        <v>14</v>
      </c>
      <c r="K22" s="16" t="s">
        <v>15</v>
      </c>
      <c r="L22" s="43"/>
      <c r="M22" s="46" t="str">
        <f>HYPERLINK("http://www.stromypodkontrolou.cz/map/tree/eb9fcfc1-f6fa-405f-85c7-690b2fb79ecd/aa6c6861-6446-4c32-8446-cddaa5743ec2")</f>
        <v>http://www.stromypodkontrolou.cz/map/tree/eb9fcfc1-f6fa-405f-85c7-690b2fb79ecd/aa6c6861-6446-4c32-8446-cddaa5743ec2</v>
      </c>
      <c r="N22" s="5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</row>
    <row r="23" spans="1:207" s="15" customFormat="1" ht="22.5">
      <c r="A23" s="12">
        <v>19</v>
      </c>
      <c r="B23" s="46" t="s">
        <v>8</v>
      </c>
      <c r="C23" s="47"/>
      <c r="D23" s="46" t="s">
        <v>9</v>
      </c>
      <c r="E23" s="46" t="s">
        <v>10</v>
      </c>
      <c r="F23" s="46">
        <v>37</v>
      </c>
      <c r="G23" s="46">
        <v>15</v>
      </c>
      <c r="H23" s="46">
        <v>5</v>
      </c>
      <c r="I23" s="46" t="s">
        <v>21</v>
      </c>
      <c r="J23" s="16" t="s">
        <v>25</v>
      </c>
      <c r="K23" s="16" t="s">
        <v>26</v>
      </c>
      <c r="L23" s="43"/>
      <c r="M23" s="46" t="str">
        <f>HYPERLINK("http://www.stromypodkontrolou.cz/map/tree/eb9fcfc1-f6fa-405f-85c7-690b2fb79ecd/aa6c6861-6446-4c32-8446-cddaa5743ec2")</f>
        <v>http://www.stromypodkontrolou.cz/map/tree/eb9fcfc1-f6fa-405f-85c7-690b2fb79ecd/aa6c6861-6446-4c32-8446-cddaa5743ec2</v>
      </c>
      <c r="N23" s="5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</row>
    <row r="24" spans="1:207" s="15" customFormat="1" ht="28.5" customHeight="1">
      <c r="A24" s="12">
        <v>20</v>
      </c>
      <c r="B24" s="46" t="s">
        <v>8</v>
      </c>
      <c r="C24" s="47"/>
      <c r="D24" s="46" t="s">
        <v>9</v>
      </c>
      <c r="E24" s="46" t="s">
        <v>10</v>
      </c>
      <c r="F24" s="46">
        <v>37</v>
      </c>
      <c r="G24" s="46">
        <v>15</v>
      </c>
      <c r="H24" s="46">
        <v>5</v>
      </c>
      <c r="I24" s="46" t="s">
        <v>21</v>
      </c>
      <c r="J24" s="16" t="s">
        <v>12</v>
      </c>
      <c r="K24" s="16" t="s">
        <v>13</v>
      </c>
      <c r="L24" s="16" t="s">
        <v>17</v>
      </c>
      <c r="M24" s="46" t="str">
        <f>HYPERLINK("http://www.stromypodkontrolou.cz/map/tree/eb9fcfc1-f6fa-405f-85c7-690b2fb79ecd/aa6c6861-6446-4c32-8446-cddaa5743ec2")</f>
        <v>http://www.stromypodkontrolou.cz/map/tree/eb9fcfc1-f6fa-405f-85c7-690b2fb79ecd/aa6c6861-6446-4c32-8446-cddaa5743ec2</v>
      </c>
      <c r="N24" s="5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</row>
    <row r="25" spans="1:14" s="3" customFormat="1" ht="12.75">
      <c r="A25" s="9">
        <v>21</v>
      </c>
      <c r="B25" s="38" t="s">
        <v>8</v>
      </c>
      <c r="C25" s="41">
        <v>59</v>
      </c>
      <c r="D25" s="38" t="s">
        <v>9</v>
      </c>
      <c r="E25" s="38" t="s">
        <v>10</v>
      </c>
      <c r="F25" s="38">
        <v>28</v>
      </c>
      <c r="G25" s="38">
        <v>16</v>
      </c>
      <c r="H25" s="38">
        <v>3</v>
      </c>
      <c r="I25" s="42"/>
      <c r="J25" s="10" t="s">
        <v>14</v>
      </c>
      <c r="K25" s="10" t="s">
        <v>15</v>
      </c>
      <c r="L25" s="42"/>
      <c r="M25" s="38" t="str">
        <f>HYPERLINK("http://www.stromypodkontrolou.cz/map/tree/eb9fcfc1-f6fa-405f-85c7-690b2fb79ecd/c6add449-458f-4aa9-905c-7ce98096a736")</f>
        <v>http://www.stromypodkontrolou.cz/map/tree/eb9fcfc1-f6fa-405f-85c7-690b2fb79ecd/c6add449-458f-4aa9-905c-7ce98096a736</v>
      </c>
      <c r="N25" s="53"/>
    </row>
    <row r="26" spans="1:14" s="3" customFormat="1" ht="22.5">
      <c r="A26" s="9">
        <v>22</v>
      </c>
      <c r="B26" s="38" t="s">
        <v>8</v>
      </c>
      <c r="C26" s="41"/>
      <c r="D26" s="38" t="s">
        <v>9</v>
      </c>
      <c r="E26" s="38" t="s">
        <v>10</v>
      </c>
      <c r="F26" s="38">
        <v>28</v>
      </c>
      <c r="G26" s="38">
        <v>16</v>
      </c>
      <c r="H26" s="38">
        <v>3</v>
      </c>
      <c r="I26" s="42"/>
      <c r="J26" s="10" t="s">
        <v>19</v>
      </c>
      <c r="K26" s="10" t="s">
        <v>20</v>
      </c>
      <c r="L26" s="42"/>
      <c r="M26" s="38" t="str">
        <f>HYPERLINK("http://www.stromypodkontrolou.cz/map/tree/eb9fcfc1-f6fa-405f-85c7-690b2fb79ecd/c6add449-458f-4aa9-905c-7ce98096a736")</f>
        <v>http://www.stromypodkontrolou.cz/map/tree/eb9fcfc1-f6fa-405f-85c7-690b2fb79ecd/c6add449-458f-4aa9-905c-7ce98096a736</v>
      </c>
      <c r="N26" s="53"/>
    </row>
    <row r="27" spans="1:207" s="15" customFormat="1" ht="22.5">
      <c r="A27" s="12">
        <v>23</v>
      </c>
      <c r="B27" s="45" t="s">
        <v>8</v>
      </c>
      <c r="C27" s="49">
        <v>60</v>
      </c>
      <c r="D27" s="45" t="s">
        <v>9</v>
      </c>
      <c r="E27" s="45" t="s">
        <v>10</v>
      </c>
      <c r="F27" s="45">
        <v>38</v>
      </c>
      <c r="G27" s="45">
        <v>16</v>
      </c>
      <c r="H27" s="45">
        <v>5</v>
      </c>
      <c r="I27" s="45"/>
      <c r="J27" s="13" t="s">
        <v>25</v>
      </c>
      <c r="K27" s="13" t="s">
        <v>26</v>
      </c>
      <c r="L27" s="44"/>
      <c r="M27" s="45" t="str">
        <f>HYPERLINK("http://www.stromypodkontrolou.cz/map/tree/eb9fcfc1-f6fa-405f-85c7-690b2fb79ecd/77d1609c-0aa2-44e2-9518-7c471f1edb8a")</f>
        <v>http://www.stromypodkontrolou.cz/map/tree/eb9fcfc1-f6fa-405f-85c7-690b2fb79ecd/77d1609c-0aa2-44e2-9518-7c471f1edb8a</v>
      </c>
      <c r="N27" s="5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 s="15" customFormat="1" ht="12.75">
      <c r="A28" s="12">
        <v>24</v>
      </c>
      <c r="B28" s="45"/>
      <c r="C28" s="49"/>
      <c r="D28" s="45"/>
      <c r="E28" s="45"/>
      <c r="F28" s="45"/>
      <c r="G28" s="45"/>
      <c r="H28" s="45"/>
      <c r="I28" s="45"/>
      <c r="J28" s="13" t="s">
        <v>14</v>
      </c>
      <c r="K28" s="13" t="s">
        <v>15</v>
      </c>
      <c r="L28" s="44"/>
      <c r="M28" s="45"/>
      <c r="N28" s="5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14" s="3" customFormat="1" ht="12.75">
      <c r="A29" s="9">
        <v>25</v>
      </c>
      <c r="B29" s="38" t="s">
        <v>8</v>
      </c>
      <c r="C29" s="41">
        <v>80</v>
      </c>
      <c r="D29" s="38" t="s">
        <v>9</v>
      </c>
      <c r="E29" s="38" t="s">
        <v>10</v>
      </c>
      <c r="F29" s="38">
        <v>31</v>
      </c>
      <c r="G29" s="38">
        <v>16</v>
      </c>
      <c r="H29" s="38">
        <v>4</v>
      </c>
      <c r="I29" s="38" t="s">
        <v>23</v>
      </c>
      <c r="J29" s="10" t="s">
        <v>14</v>
      </c>
      <c r="K29" s="10" t="s">
        <v>15</v>
      </c>
      <c r="L29" s="10"/>
      <c r="M29" s="38" t="str">
        <f>HYPERLINK("http://www.stromypodkontrolou.cz/map/tree/eb9fcfc1-f6fa-405f-85c7-690b2fb79ecd/b33d3f10-bea1-4ab2-924a-18c4bb9fea30")</f>
        <v>http://www.stromypodkontrolou.cz/map/tree/eb9fcfc1-f6fa-405f-85c7-690b2fb79ecd/b33d3f10-bea1-4ab2-924a-18c4bb9fea30</v>
      </c>
      <c r="N29" s="53"/>
    </row>
    <row r="30" spans="1:14" s="3" customFormat="1" ht="25.5" customHeight="1">
      <c r="A30" s="9">
        <v>26</v>
      </c>
      <c r="B30" s="38" t="s">
        <v>8</v>
      </c>
      <c r="C30" s="41"/>
      <c r="D30" s="38" t="s">
        <v>9</v>
      </c>
      <c r="E30" s="38" t="s">
        <v>10</v>
      </c>
      <c r="F30" s="38">
        <v>31</v>
      </c>
      <c r="G30" s="38">
        <v>16</v>
      </c>
      <c r="H30" s="38">
        <v>4</v>
      </c>
      <c r="I30" s="38" t="s">
        <v>23</v>
      </c>
      <c r="J30" s="10" t="s">
        <v>12</v>
      </c>
      <c r="K30" s="10" t="s">
        <v>13</v>
      </c>
      <c r="L30" s="10" t="s">
        <v>17</v>
      </c>
      <c r="M30" s="38" t="str">
        <f>HYPERLINK("http://www.stromypodkontrolou.cz/map/tree/eb9fcfc1-f6fa-405f-85c7-690b2fb79ecd/b33d3f10-bea1-4ab2-924a-18c4bb9fea30")</f>
        <v>http://www.stromypodkontrolou.cz/map/tree/eb9fcfc1-f6fa-405f-85c7-690b2fb79ecd/b33d3f10-bea1-4ab2-924a-18c4bb9fea30</v>
      </c>
      <c r="N30" s="53"/>
    </row>
    <row r="31" spans="1:207" s="15" customFormat="1" ht="12.75">
      <c r="A31" s="12">
        <v>27</v>
      </c>
      <c r="B31" s="46" t="s">
        <v>8</v>
      </c>
      <c r="C31" s="47">
        <v>81</v>
      </c>
      <c r="D31" s="46" t="s">
        <v>9</v>
      </c>
      <c r="E31" s="46" t="s">
        <v>10</v>
      </c>
      <c r="F31" s="46">
        <v>42</v>
      </c>
      <c r="G31" s="46">
        <v>14</v>
      </c>
      <c r="H31" s="46">
        <v>4</v>
      </c>
      <c r="I31" s="46" t="s">
        <v>23</v>
      </c>
      <c r="J31" s="16" t="s">
        <v>14</v>
      </c>
      <c r="K31" s="16" t="s">
        <v>15</v>
      </c>
      <c r="L31" s="16"/>
      <c r="M31" s="46" t="str">
        <f>HYPERLINK("http://www.stromypodkontrolou.cz/map/tree/eb9fcfc1-f6fa-405f-85c7-690b2fb79ecd/ee5bef17-ff9e-4ab5-ab51-3c92be9020e4")</f>
        <v>http://www.stromypodkontrolou.cz/map/tree/eb9fcfc1-f6fa-405f-85c7-690b2fb79ecd/ee5bef17-ff9e-4ab5-ab51-3c92be9020e4</v>
      </c>
      <c r="N31" s="5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</row>
    <row r="32" spans="1:207" s="15" customFormat="1" ht="25.5" customHeight="1">
      <c r="A32" s="12">
        <v>28</v>
      </c>
      <c r="B32" s="46" t="s">
        <v>8</v>
      </c>
      <c r="C32" s="47"/>
      <c r="D32" s="46" t="s">
        <v>9</v>
      </c>
      <c r="E32" s="46" t="s">
        <v>10</v>
      </c>
      <c r="F32" s="46">
        <v>42</v>
      </c>
      <c r="G32" s="46">
        <v>14</v>
      </c>
      <c r="H32" s="46">
        <v>4</v>
      </c>
      <c r="I32" s="46" t="s">
        <v>23</v>
      </c>
      <c r="J32" s="16" t="s">
        <v>12</v>
      </c>
      <c r="K32" s="16" t="s">
        <v>13</v>
      </c>
      <c r="L32" s="16" t="s">
        <v>17</v>
      </c>
      <c r="M32" s="46" t="str">
        <f>HYPERLINK("http://www.stromypodkontrolou.cz/map/tree/eb9fcfc1-f6fa-405f-85c7-690b2fb79ecd/ee5bef17-ff9e-4ab5-ab51-3c92be9020e4")</f>
        <v>http://www.stromypodkontrolou.cz/map/tree/eb9fcfc1-f6fa-405f-85c7-690b2fb79ecd/ee5bef17-ff9e-4ab5-ab51-3c92be9020e4</v>
      </c>
      <c r="N32" s="5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</row>
    <row r="33" spans="1:14" s="3" customFormat="1" ht="12.75">
      <c r="A33" s="9">
        <v>29</v>
      </c>
      <c r="B33" s="38" t="s">
        <v>8</v>
      </c>
      <c r="C33" s="41">
        <v>93</v>
      </c>
      <c r="D33" s="38" t="s">
        <v>9</v>
      </c>
      <c r="E33" s="38" t="s">
        <v>10</v>
      </c>
      <c r="F33" s="38">
        <v>35</v>
      </c>
      <c r="G33" s="38">
        <v>15</v>
      </c>
      <c r="H33" s="38">
        <v>5</v>
      </c>
      <c r="I33" s="38" t="s">
        <v>23</v>
      </c>
      <c r="J33" s="10" t="s">
        <v>14</v>
      </c>
      <c r="K33" s="10" t="s">
        <v>15</v>
      </c>
      <c r="L33" s="42"/>
      <c r="M33" s="38" t="str">
        <f>HYPERLINK("http://www.stromypodkontrolou.cz/map/tree/eb9fcfc1-f6fa-405f-85c7-690b2fb79ecd/22ed4697-df04-452c-8ec4-6fd9f8780ae2")</f>
        <v>http://www.stromypodkontrolou.cz/map/tree/eb9fcfc1-f6fa-405f-85c7-690b2fb79ecd/22ed4697-df04-452c-8ec4-6fd9f8780ae2</v>
      </c>
      <c r="N33" s="53"/>
    </row>
    <row r="34" spans="1:14" s="3" customFormat="1" ht="22.5">
      <c r="A34" s="9">
        <v>30</v>
      </c>
      <c r="B34" s="38" t="s">
        <v>8</v>
      </c>
      <c r="C34" s="41"/>
      <c r="D34" s="38" t="s">
        <v>9</v>
      </c>
      <c r="E34" s="38" t="s">
        <v>10</v>
      </c>
      <c r="F34" s="38">
        <v>35</v>
      </c>
      <c r="G34" s="38">
        <v>15</v>
      </c>
      <c r="H34" s="38">
        <v>5</v>
      </c>
      <c r="I34" s="38" t="s">
        <v>23</v>
      </c>
      <c r="J34" s="10" t="s">
        <v>12</v>
      </c>
      <c r="K34" s="10" t="s">
        <v>13</v>
      </c>
      <c r="L34" s="42"/>
      <c r="M34" s="38" t="str">
        <f>HYPERLINK("http://www.stromypodkontrolou.cz/map/tree/eb9fcfc1-f6fa-405f-85c7-690b2fb79ecd/22ed4697-df04-452c-8ec4-6fd9f8780ae2")</f>
        <v>http://www.stromypodkontrolou.cz/map/tree/eb9fcfc1-f6fa-405f-85c7-690b2fb79ecd/22ed4697-df04-452c-8ec4-6fd9f8780ae2</v>
      </c>
      <c r="N34" s="53"/>
    </row>
    <row r="35" spans="1:207" s="15" customFormat="1" ht="45">
      <c r="A35" s="12">
        <v>31</v>
      </c>
      <c r="B35" s="16" t="s">
        <v>8</v>
      </c>
      <c r="C35" s="14">
        <v>94</v>
      </c>
      <c r="D35" s="16" t="s">
        <v>9</v>
      </c>
      <c r="E35" s="16" t="s">
        <v>10</v>
      </c>
      <c r="F35" s="16">
        <v>46</v>
      </c>
      <c r="G35" s="16">
        <v>15</v>
      </c>
      <c r="H35" s="16">
        <v>13</v>
      </c>
      <c r="I35" s="16"/>
      <c r="J35" s="16" t="s">
        <v>14</v>
      </c>
      <c r="K35" s="16" t="s">
        <v>15</v>
      </c>
      <c r="L35" s="16"/>
      <c r="M35" s="16" t="str">
        <f>HYPERLINK("http://www.stromypodkontrolou.cz/map/tree/eb9fcfc1-f6fa-405f-85c7-690b2fb79ecd/5d6fa944-bfe2-496d-94d8-da77e58554f2")</f>
        <v>http://www.stromypodkontrolou.cz/map/tree/eb9fcfc1-f6fa-405f-85c7-690b2fb79ecd/5d6fa944-bfe2-496d-94d8-da77e58554f2</v>
      </c>
      <c r="N35" s="5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</row>
    <row r="36" spans="1:14" s="3" customFormat="1" ht="12.75">
      <c r="A36" s="9">
        <v>32</v>
      </c>
      <c r="B36" s="38" t="s">
        <v>8</v>
      </c>
      <c r="C36" s="41">
        <v>127</v>
      </c>
      <c r="D36" s="38" t="s">
        <v>9</v>
      </c>
      <c r="E36" s="38" t="s">
        <v>10</v>
      </c>
      <c r="F36" s="38">
        <v>35</v>
      </c>
      <c r="G36" s="38">
        <v>14</v>
      </c>
      <c r="H36" s="38">
        <v>5</v>
      </c>
      <c r="I36" s="38" t="s">
        <v>23</v>
      </c>
      <c r="J36" s="10" t="s">
        <v>14</v>
      </c>
      <c r="K36" s="10" t="s">
        <v>15</v>
      </c>
      <c r="L36" s="10"/>
      <c r="M36" s="38" t="str">
        <f>HYPERLINK("http://www.stromypodkontrolou.cz/map/tree/eb9fcfc1-f6fa-405f-85c7-690b2fb79ecd/7b3c44db-e172-4b9e-8678-3656e23042d3")</f>
        <v>http://www.stromypodkontrolou.cz/map/tree/eb9fcfc1-f6fa-405f-85c7-690b2fb79ecd/7b3c44db-e172-4b9e-8678-3656e23042d3</v>
      </c>
      <c r="N36" s="53"/>
    </row>
    <row r="37" spans="1:14" s="3" customFormat="1" ht="25.5" customHeight="1">
      <c r="A37" s="9">
        <v>33</v>
      </c>
      <c r="B37" s="38" t="s">
        <v>8</v>
      </c>
      <c r="C37" s="41">
        <v>127</v>
      </c>
      <c r="D37" s="38" t="s">
        <v>9</v>
      </c>
      <c r="E37" s="38" t="s">
        <v>10</v>
      </c>
      <c r="F37" s="38">
        <v>35</v>
      </c>
      <c r="G37" s="38">
        <v>14</v>
      </c>
      <c r="H37" s="38">
        <v>5</v>
      </c>
      <c r="I37" s="38" t="s">
        <v>23</v>
      </c>
      <c r="J37" s="10" t="s">
        <v>12</v>
      </c>
      <c r="K37" s="10" t="s">
        <v>13</v>
      </c>
      <c r="L37" s="10" t="s">
        <v>17</v>
      </c>
      <c r="M37" s="38" t="str">
        <f>HYPERLINK("http://www.stromypodkontrolou.cz/map/tree/eb9fcfc1-f6fa-405f-85c7-690b2fb79ecd/7b3c44db-e172-4b9e-8678-3656e23042d3")</f>
        <v>http://www.stromypodkontrolou.cz/map/tree/eb9fcfc1-f6fa-405f-85c7-690b2fb79ecd/7b3c44db-e172-4b9e-8678-3656e23042d3</v>
      </c>
      <c r="N37" s="53"/>
    </row>
    <row r="38" spans="1:207" s="15" customFormat="1" ht="12.75">
      <c r="A38" s="12">
        <v>34</v>
      </c>
      <c r="B38" s="45" t="s">
        <v>8</v>
      </c>
      <c r="C38" s="49">
        <v>128</v>
      </c>
      <c r="D38" s="45" t="s">
        <v>9</v>
      </c>
      <c r="E38" s="45" t="s">
        <v>10</v>
      </c>
      <c r="F38" s="45">
        <v>30</v>
      </c>
      <c r="G38" s="45">
        <v>14</v>
      </c>
      <c r="H38" s="45">
        <v>4</v>
      </c>
      <c r="I38" s="45" t="s">
        <v>23</v>
      </c>
      <c r="J38" s="13" t="s">
        <v>14</v>
      </c>
      <c r="K38" s="13" t="s">
        <v>15</v>
      </c>
      <c r="L38" s="13"/>
      <c r="M38" s="45" t="str">
        <f>HYPERLINK("http://www.stromypodkontrolou.cz/map/tree/eb9fcfc1-f6fa-405f-85c7-690b2fb79ecd/873740ab-4063-44ab-9f23-2c4b8fd91461")</f>
        <v>http://www.stromypodkontrolou.cz/map/tree/eb9fcfc1-f6fa-405f-85c7-690b2fb79ecd/873740ab-4063-44ab-9f23-2c4b8fd91461</v>
      </c>
      <c r="N38" s="5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</row>
    <row r="39" spans="1:207" s="15" customFormat="1" ht="25.5" customHeight="1">
      <c r="A39" s="12">
        <v>35</v>
      </c>
      <c r="B39" s="45" t="s">
        <v>8</v>
      </c>
      <c r="C39" s="49">
        <v>128</v>
      </c>
      <c r="D39" s="45" t="s">
        <v>9</v>
      </c>
      <c r="E39" s="45" t="s">
        <v>10</v>
      </c>
      <c r="F39" s="45">
        <v>30</v>
      </c>
      <c r="G39" s="45">
        <v>14</v>
      </c>
      <c r="H39" s="45">
        <v>4</v>
      </c>
      <c r="I39" s="45" t="s">
        <v>23</v>
      </c>
      <c r="J39" s="13" t="s">
        <v>12</v>
      </c>
      <c r="K39" s="13" t="s">
        <v>13</v>
      </c>
      <c r="L39" s="13" t="s">
        <v>17</v>
      </c>
      <c r="M39" s="45" t="str">
        <f>HYPERLINK("http://www.stromypodkontrolou.cz/map/tree/eb9fcfc1-f6fa-405f-85c7-690b2fb79ecd/873740ab-4063-44ab-9f23-2c4b8fd91461")</f>
        <v>http://www.stromypodkontrolou.cz/map/tree/eb9fcfc1-f6fa-405f-85c7-690b2fb79ecd/873740ab-4063-44ab-9f23-2c4b8fd91461</v>
      </c>
      <c r="N39" s="5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</row>
    <row r="40" spans="1:14" s="3" customFormat="1" ht="25.5" customHeight="1">
      <c r="A40" s="9">
        <v>36</v>
      </c>
      <c r="B40" s="38" t="s">
        <v>8</v>
      </c>
      <c r="C40" s="41">
        <v>129</v>
      </c>
      <c r="D40" s="38" t="s">
        <v>9</v>
      </c>
      <c r="E40" s="38" t="s">
        <v>10</v>
      </c>
      <c r="F40" s="38">
        <v>33</v>
      </c>
      <c r="G40" s="38">
        <v>13</v>
      </c>
      <c r="H40" s="38">
        <v>5</v>
      </c>
      <c r="I40" s="38" t="s">
        <v>23</v>
      </c>
      <c r="J40" s="10" t="s">
        <v>12</v>
      </c>
      <c r="K40" s="10" t="s">
        <v>13</v>
      </c>
      <c r="L40" s="10" t="s">
        <v>17</v>
      </c>
      <c r="M40" s="38" t="str">
        <f>HYPERLINK("http://www.stromypodkontrolou.cz/map/tree/eb9fcfc1-f6fa-405f-85c7-690b2fb79ecd/4661977f-caf7-4964-a9da-728ea34cad5e")</f>
        <v>http://www.stromypodkontrolou.cz/map/tree/eb9fcfc1-f6fa-405f-85c7-690b2fb79ecd/4661977f-caf7-4964-a9da-728ea34cad5e</v>
      </c>
      <c r="N40" s="53"/>
    </row>
    <row r="41" spans="1:14" s="3" customFormat="1" ht="12.75">
      <c r="A41" s="9">
        <v>37</v>
      </c>
      <c r="B41" s="38" t="s">
        <v>8</v>
      </c>
      <c r="C41" s="41">
        <v>129</v>
      </c>
      <c r="D41" s="38" t="s">
        <v>9</v>
      </c>
      <c r="E41" s="38" t="s">
        <v>10</v>
      </c>
      <c r="F41" s="38">
        <v>33</v>
      </c>
      <c r="G41" s="38">
        <v>13</v>
      </c>
      <c r="H41" s="38">
        <v>5</v>
      </c>
      <c r="I41" s="38" t="s">
        <v>23</v>
      </c>
      <c r="J41" s="10" t="s">
        <v>14</v>
      </c>
      <c r="K41" s="10" t="s">
        <v>15</v>
      </c>
      <c r="L41" s="42"/>
      <c r="M41" s="38" t="str">
        <f>HYPERLINK("http://www.stromypodkontrolou.cz/map/tree/eb9fcfc1-f6fa-405f-85c7-690b2fb79ecd/4661977f-caf7-4964-a9da-728ea34cad5e")</f>
        <v>http://www.stromypodkontrolou.cz/map/tree/eb9fcfc1-f6fa-405f-85c7-690b2fb79ecd/4661977f-caf7-4964-a9da-728ea34cad5e</v>
      </c>
      <c r="N41" s="53"/>
    </row>
    <row r="42" spans="1:14" s="3" customFormat="1" ht="22.5">
      <c r="A42" s="9">
        <v>38</v>
      </c>
      <c r="B42" s="38"/>
      <c r="C42" s="41"/>
      <c r="D42" s="38"/>
      <c r="E42" s="38"/>
      <c r="F42" s="38"/>
      <c r="G42" s="38"/>
      <c r="H42" s="38"/>
      <c r="I42" s="38"/>
      <c r="J42" s="10" t="s">
        <v>19</v>
      </c>
      <c r="K42" s="10" t="s">
        <v>20</v>
      </c>
      <c r="L42" s="42"/>
      <c r="M42" s="38"/>
      <c r="N42" s="53"/>
    </row>
    <row r="43" spans="1:207" s="15" customFormat="1" ht="22.5">
      <c r="A43" s="12">
        <v>39</v>
      </c>
      <c r="B43" s="45" t="s">
        <v>8</v>
      </c>
      <c r="C43" s="49">
        <v>135</v>
      </c>
      <c r="D43" s="45" t="s">
        <v>9</v>
      </c>
      <c r="E43" s="45" t="s">
        <v>10</v>
      </c>
      <c r="F43" s="45">
        <v>31</v>
      </c>
      <c r="G43" s="45">
        <v>16</v>
      </c>
      <c r="H43" s="45">
        <v>6</v>
      </c>
      <c r="I43" s="45" t="s">
        <v>29</v>
      </c>
      <c r="J43" s="13" t="s">
        <v>19</v>
      </c>
      <c r="K43" s="13" t="s">
        <v>20</v>
      </c>
      <c r="L43" s="13"/>
      <c r="M43" s="45" t="str">
        <f>HYPERLINK("http://www.stromypodkontrolou.cz/map/tree/eb9fcfc1-f6fa-405f-85c7-690b2fb79ecd/21f6bfe4-b648-45ed-84a4-24a6f6ef774a")</f>
        <v>http://www.stromypodkontrolou.cz/map/tree/eb9fcfc1-f6fa-405f-85c7-690b2fb79ecd/21f6bfe4-b648-45ed-84a4-24a6f6ef774a</v>
      </c>
      <c r="N43" s="5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</row>
    <row r="44" spans="1:207" s="15" customFormat="1" ht="25.5" customHeight="1">
      <c r="A44" s="12">
        <v>40</v>
      </c>
      <c r="B44" s="45" t="s">
        <v>8</v>
      </c>
      <c r="C44" s="49">
        <v>135</v>
      </c>
      <c r="D44" s="45" t="s">
        <v>9</v>
      </c>
      <c r="E44" s="45" t="s">
        <v>10</v>
      </c>
      <c r="F44" s="45">
        <v>31</v>
      </c>
      <c r="G44" s="45">
        <v>16</v>
      </c>
      <c r="H44" s="45">
        <v>6</v>
      </c>
      <c r="I44" s="45" t="s">
        <v>29</v>
      </c>
      <c r="J44" s="13" t="s">
        <v>12</v>
      </c>
      <c r="K44" s="13" t="s">
        <v>13</v>
      </c>
      <c r="L44" s="13" t="s">
        <v>17</v>
      </c>
      <c r="M44" s="45" t="str">
        <f>HYPERLINK("http://www.stromypodkontrolou.cz/map/tree/eb9fcfc1-f6fa-405f-85c7-690b2fb79ecd/21f6bfe4-b648-45ed-84a4-24a6f6ef774a")</f>
        <v>http://www.stromypodkontrolou.cz/map/tree/eb9fcfc1-f6fa-405f-85c7-690b2fb79ecd/21f6bfe4-b648-45ed-84a4-24a6f6ef774a</v>
      </c>
      <c r="N44" s="5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</row>
    <row r="45" spans="1:14" s="3" customFormat="1" ht="22.5">
      <c r="A45" s="9">
        <v>41</v>
      </c>
      <c r="B45" s="38" t="s">
        <v>8</v>
      </c>
      <c r="C45" s="41">
        <v>137</v>
      </c>
      <c r="D45" s="38" t="s">
        <v>9</v>
      </c>
      <c r="E45" s="38" t="s">
        <v>10</v>
      </c>
      <c r="F45" s="38">
        <v>34</v>
      </c>
      <c r="G45" s="38">
        <v>19</v>
      </c>
      <c r="H45" s="38">
        <v>7</v>
      </c>
      <c r="I45" s="38" t="s">
        <v>16</v>
      </c>
      <c r="J45" s="10" t="s">
        <v>19</v>
      </c>
      <c r="K45" s="10" t="s">
        <v>20</v>
      </c>
      <c r="L45" s="10"/>
      <c r="M45" s="38" t="str">
        <f>HYPERLINK("http://www.stromypodkontrolou.cz/map/tree/eb9fcfc1-f6fa-405f-85c7-690b2fb79ecd/4beea3d5-493f-4edc-9394-a10f0a618ac4")</f>
        <v>http://www.stromypodkontrolou.cz/map/tree/eb9fcfc1-f6fa-405f-85c7-690b2fb79ecd/4beea3d5-493f-4edc-9394-a10f0a618ac4</v>
      </c>
      <c r="N45" s="53"/>
    </row>
    <row r="46" spans="1:14" s="3" customFormat="1" ht="25.5" customHeight="1">
      <c r="A46" s="9">
        <v>42</v>
      </c>
      <c r="B46" s="38" t="s">
        <v>8</v>
      </c>
      <c r="C46" s="41">
        <v>137</v>
      </c>
      <c r="D46" s="38" t="s">
        <v>9</v>
      </c>
      <c r="E46" s="38" t="s">
        <v>10</v>
      </c>
      <c r="F46" s="38">
        <v>34</v>
      </c>
      <c r="G46" s="38">
        <v>19</v>
      </c>
      <c r="H46" s="38">
        <v>7</v>
      </c>
      <c r="I46" s="38" t="s">
        <v>16</v>
      </c>
      <c r="J46" s="10" t="s">
        <v>14</v>
      </c>
      <c r="K46" s="10" t="s">
        <v>15</v>
      </c>
      <c r="L46" s="10" t="s">
        <v>17</v>
      </c>
      <c r="M46" s="38" t="str">
        <f>HYPERLINK("http://www.stromypodkontrolou.cz/map/tree/eb9fcfc1-f6fa-405f-85c7-690b2fb79ecd/4beea3d5-493f-4edc-9394-a10f0a618ac4")</f>
        <v>http://www.stromypodkontrolou.cz/map/tree/eb9fcfc1-f6fa-405f-85c7-690b2fb79ecd/4beea3d5-493f-4edc-9394-a10f0a618ac4</v>
      </c>
      <c r="N46" s="53"/>
    </row>
    <row r="47" spans="1:207" s="15" customFormat="1" ht="22.5">
      <c r="A47" s="12">
        <v>43</v>
      </c>
      <c r="B47" s="45" t="s">
        <v>8</v>
      </c>
      <c r="C47" s="49">
        <v>138</v>
      </c>
      <c r="D47" s="45" t="s">
        <v>9</v>
      </c>
      <c r="E47" s="45" t="s">
        <v>10</v>
      </c>
      <c r="F47" s="45">
        <v>33</v>
      </c>
      <c r="G47" s="45">
        <v>20</v>
      </c>
      <c r="H47" s="45">
        <v>10</v>
      </c>
      <c r="I47" s="45" t="s">
        <v>16</v>
      </c>
      <c r="J47" s="13" t="s">
        <v>19</v>
      </c>
      <c r="K47" s="13" t="s">
        <v>20</v>
      </c>
      <c r="L47" s="13"/>
      <c r="M47" s="45" t="str">
        <f>HYPERLINK("http://www.stromypodkontrolou.cz/map/tree/eb9fcfc1-f6fa-405f-85c7-690b2fb79ecd/4af12763-10c5-4340-a434-d5c9179b7daa")</f>
        <v>http://www.stromypodkontrolou.cz/map/tree/eb9fcfc1-f6fa-405f-85c7-690b2fb79ecd/4af12763-10c5-4340-a434-d5c9179b7daa</v>
      </c>
      <c r="N47" s="5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</row>
    <row r="48" spans="1:207" s="15" customFormat="1" ht="25.5" customHeight="1">
      <c r="A48" s="12">
        <v>44</v>
      </c>
      <c r="B48" s="45" t="s">
        <v>8</v>
      </c>
      <c r="C48" s="49">
        <v>138</v>
      </c>
      <c r="D48" s="45" t="s">
        <v>9</v>
      </c>
      <c r="E48" s="45" t="s">
        <v>10</v>
      </c>
      <c r="F48" s="45">
        <v>33</v>
      </c>
      <c r="G48" s="45">
        <v>20</v>
      </c>
      <c r="H48" s="45">
        <v>10</v>
      </c>
      <c r="I48" s="45" t="s">
        <v>16</v>
      </c>
      <c r="J48" s="13" t="s">
        <v>12</v>
      </c>
      <c r="K48" s="13" t="s">
        <v>13</v>
      </c>
      <c r="L48" s="13" t="s">
        <v>17</v>
      </c>
      <c r="M48" s="45" t="str">
        <f>HYPERLINK("http://www.stromypodkontrolou.cz/map/tree/eb9fcfc1-f6fa-405f-85c7-690b2fb79ecd/4af12763-10c5-4340-a434-d5c9179b7daa")</f>
        <v>http://www.stromypodkontrolou.cz/map/tree/eb9fcfc1-f6fa-405f-85c7-690b2fb79ecd/4af12763-10c5-4340-a434-d5c9179b7daa</v>
      </c>
      <c r="N48" s="5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</row>
    <row r="49" spans="1:14" s="3" customFormat="1" ht="25.5" customHeight="1">
      <c r="A49" s="9">
        <v>45</v>
      </c>
      <c r="B49" s="38" t="s">
        <v>8</v>
      </c>
      <c r="C49" s="41">
        <v>145</v>
      </c>
      <c r="D49" s="38" t="s">
        <v>9</v>
      </c>
      <c r="E49" s="38" t="s">
        <v>10</v>
      </c>
      <c r="F49" s="38">
        <v>34</v>
      </c>
      <c r="G49" s="38">
        <v>18</v>
      </c>
      <c r="H49" s="38">
        <v>7</v>
      </c>
      <c r="I49" s="38" t="s">
        <v>16</v>
      </c>
      <c r="J49" s="10" t="s">
        <v>12</v>
      </c>
      <c r="K49" s="10" t="s">
        <v>13</v>
      </c>
      <c r="L49" s="10" t="s">
        <v>17</v>
      </c>
      <c r="M49" s="38" t="str">
        <f>HYPERLINK("http://www.stromypodkontrolou.cz/map/tree/eb9fcfc1-f6fa-405f-85c7-690b2fb79ecd/3a02f7f5-f386-410a-a42d-7050c3f255f9")</f>
        <v>http://www.stromypodkontrolou.cz/map/tree/eb9fcfc1-f6fa-405f-85c7-690b2fb79ecd/3a02f7f5-f386-410a-a42d-7050c3f255f9</v>
      </c>
      <c r="N49" s="53"/>
    </row>
    <row r="50" spans="1:14" s="3" customFormat="1" ht="12.75">
      <c r="A50" s="9">
        <v>46</v>
      </c>
      <c r="B50" s="38"/>
      <c r="C50" s="41"/>
      <c r="D50" s="38"/>
      <c r="E50" s="38"/>
      <c r="F50" s="38"/>
      <c r="G50" s="38"/>
      <c r="H50" s="38"/>
      <c r="I50" s="38"/>
      <c r="J50" s="10" t="s">
        <v>14</v>
      </c>
      <c r="K50" s="10" t="s">
        <v>15</v>
      </c>
      <c r="L50" s="10"/>
      <c r="M50" s="38"/>
      <c r="N50" s="53"/>
    </row>
    <row r="51" spans="1:207" s="15" customFormat="1" ht="51" customHeight="1">
      <c r="A51" s="12">
        <v>47</v>
      </c>
      <c r="B51" s="16" t="s">
        <v>30</v>
      </c>
      <c r="C51" s="14">
        <v>4</v>
      </c>
      <c r="D51" s="16" t="s">
        <v>31</v>
      </c>
      <c r="E51" s="16" t="s">
        <v>32</v>
      </c>
      <c r="F51" s="16">
        <v>34</v>
      </c>
      <c r="G51" s="16">
        <v>14</v>
      </c>
      <c r="H51" s="16">
        <v>8</v>
      </c>
      <c r="I51" s="16" t="s">
        <v>33</v>
      </c>
      <c r="J51" s="16" t="s">
        <v>12</v>
      </c>
      <c r="K51" s="16" t="s">
        <v>13</v>
      </c>
      <c r="L51" s="16" t="s">
        <v>34</v>
      </c>
      <c r="M51" s="16" t="str">
        <f>HYPERLINK("http://www.stromypodkontrolou.cz/map/tree/eb9fcfc1-f6fa-405f-85c7-690b2fb79ecd/5db0efe5-ae19-4fdc-b740-b165dc02ec35")</f>
        <v>http://www.stromypodkontrolou.cz/map/tree/eb9fcfc1-f6fa-405f-85c7-690b2fb79ecd/5db0efe5-ae19-4fdc-b740-b165dc02ec35</v>
      </c>
      <c r="N51" s="5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14" s="3" customFormat="1" ht="22.5">
      <c r="A52" s="9">
        <v>48</v>
      </c>
      <c r="B52" s="38" t="s">
        <v>30</v>
      </c>
      <c r="C52" s="41">
        <v>8</v>
      </c>
      <c r="D52" s="38" t="s">
        <v>31</v>
      </c>
      <c r="E52" s="38" t="s">
        <v>32</v>
      </c>
      <c r="F52" s="38">
        <v>44</v>
      </c>
      <c r="G52" s="38">
        <v>11</v>
      </c>
      <c r="H52" s="38">
        <v>9</v>
      </c>
      <c r="I52" s="38" t="s">
        <v>35</v>
      </c>
      <c r="J52" s="10" t="s">
        <v>12</v>
      </c>
      <c r="K52" s="10" t="s">
        <v>13</v>
      </c>
      <c r="L52" s="10" t="s">
        <v>22</v>
      </c>
      <c r="M52" s="38" t="str">
        <f>HYPERLINK("http://www.stromypodkontrolou.cz/map/tree/eb9fcfc1-f6fa-405f-85c7-690b2fb79ecd/19817da3-afd1-4000-907e-127dae031bc8")</f>
        <v>http://www.stromypodkontrolou.cz/map/tree/eb9fcfc1-f6fa-405f-85c7-690b2fb79ecd/19817da3-afd1-4000-907e-127dae031bc8</v>
      </c>
      <c r="N52" s="53"/>
    </row>
    <row r="53" spans="1:14" s="3" customFormat="1" ht="12.75">
      <c r="A53" s="9">
        <v>49</v>
      </c>
      <c r="B53" s="38"/>
      <c r="C53" s="41"/>
      <c r="D53" s="38"/>
      <c r="E53" s="38"/>
      <c r="F53" s="38"/>
      <c r="G53" s="38"/>
      <c r="H53" s="38"/>
      <c r="I53" s="38"/>
      <c r="J53" s="10" t="s">
        <v>14</v>
      </c>
      <c r="K53" s="10" t="s">
        <v>15</v>
      </c>
      <c r="L53" s="42"/>
      <c r="M53" s="38"/>
      <c r="N53" s="53"/>
    </row>
    <row r="54" spans="1:14" s="3" customFormat="1" ht="22.5">
      <c r="A54" s="9">
        <v>50</v>
      </c>
      <c r="B54" s="38"/>
      <c r="C54" s="41"/>
      <c r="D54" s="38"/>
      <c r="E54" s="38"/>
      <c r="F54" s="38"/>
      <c r="G54" s="38"/>
      <c r="H54" s="38"/>
      <c r="I54" s="38"/>
      <c r="J54" s="10" t="s">
        <v>19</v>
      </c>
      <c r="K54" s="10" t="s">
        <v>20</v>
      </c>
      <c r="L54" s="42"/>
      <c r="M54" s="38"/>
      <c r="N54" s="53"/>
    </row>
    <row r="55" spans="1:207" s="15" customFormat="1" ht="25.5" customHeight="1">
      <c r="A55" s="12">
        <v>51</v>
      </c>
      <c r="B55" s="46" t="s">
        <v>36</v>
      </c>
      <c r="C55" s="47">
        <v>3</v>
      </c>
      <c r="D55" s="46" t="s">
        <v>37</v>
      </c>
      <c r="E55" s="46" t="s">
        <v>38</v>
      </c>
      <c r="F55" s="46">
        <v>32</v>
      </c>
      <c r="G55" s="46">
        <v>15</v>
      </c>
      <c r="H55" s="46">
        <v>5</v>
      </c>
      <c r="I55" s="46" t="s">
        <v>23</v>
      </c>
      <c r="J55" s="16" t="s">
        <v>12</v>
      </c>
      <c r="K55" s="16" t="s">
        <v>13</v>
      </c>
      <c r="L55" s="16" t="s">
        <v>17</v>
      </c>
      <c r="M55" s="46" t="str">
        <f>HYPERLINK("http://www.stromypodkontrolou.cz/map/tree/eb9fcfc1-f6fa-405f-85c7-690b2fb79ecd/131984b3-521d-4f65-9ed7-790c15b2a796")</f>
        <v>http://www.stromypodkontrolou.cz/map/tree/eb9fcfc1-f6fa-405f-85c7-690b2fb79ecd/131984b3-521d-4f65-9ed7-790c15b2a796</v>
      </c>
      <c r="N55" s="5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</row>
    <row r="56" spans="1:207" s="15" customFormat="1" ht="12.75">
      <c r="A56" s="12">
        <v>52</v>
      </c>
      <c r="B56" s="46" t="s">
        <v>36</v>
      </c>
      <c r="C56" s="47">
        <v>3</v>
      </c>
      <c r="D56" s="46" t="s">
        <v>37</v>
      </c>
      <c r="E56" s="46" t="s">
        <v>38</v>
      </c>
      <c r="F56" s="46">
        <v>32</v>
      </c>
      <c r="G56" s="46">
        <v>15</v>
      </c>
      <c r="H56" s="46">
        <v>5</v>
      </c>
      <c r="I56" s="46" t="s">
        <v>23</v>
      </c>
      <c r="J56" s="16" t="s">
        <v>14</v>
      </c>
      <c r="K56" s="16" t="s">
        <v>15</v>
      </c>
      <c r="L56" s="16"/>
      <c r="M56" s="46" t="str">
        <f>HYPERLINK("http://www.stromypodkontrolou.cz/map/tree/eb9fcfc1-f6fa-405f-85c7-690b2fb79ecd/131984b3-521d-4f65-9ed7-790c15b2a796")</f>
        <v>http://www.stromypodkontrolou.cz/map/tree/eb9fcfc1-f6fa-405f-85c7-690b2fb79ecd/131984b3-521d-4f65-9ed7-790c15b2a796</v>
      </c>
      <c r="N56" s="5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</row>
    <row r="57" spans="1:14" s="3" customFormat="1" ht="12.75" customHeight="1">
      <c r="A57" s="9">
        <v>53</v>
      </c>
      <c r="B57" s="10" t="s">
        <v>36</v>
      </c>
      <c r="C57" s="11">
        <v>5</v>
      </c>
      <c r="D57" s="10" t="s">
        <v>39</v>
      </c>
      <c r="E57" s="10" t="s">
        <v>40</v>
      </c>
      <c r="F57" s="10">
        <v>30</v>
      </c>
      <c r="G57" s="10">
        <v>14</v>
      </c>
      <c r="H57" s="10">
        <v>4</v>
      </c>
      <c r="I57" s="10"/>
      <c r="J57" s="10" t="s">
        <v>14</v>
      </c>
      <c r="K57" s="10" t="s">
        <v>15</v>
      </c>
      <c r="L57" s="10"/>
      <c r="M57" s="10" t="str">
        <f>HYPERLINK("http://www.stromypodkontrolou.cz/map/tree/eb9fcfc1-f6fa-405f-85c7-690b2fb79ecd/80b468c3-5148-43a1-bb7e-5054879409df")</f>
        <v>http://www.stromypodkontrolou.cz/map/tree/eb9fcfc1-f6fa-405f-85c7-690b2fb79ecd/80b468c3-5148-43a1-bb7e-5054879409df</v>
      </c>
      <c r="N57" s="53"/>
    </row>
    <row r="58" spans="1:207" s="15" customFormat="1" ht="45">
      <c r="A58" s="12">
        <v>54</v>
      </c>
      <c r="B58" s="16" t="s">
        <v>36</v>
      </c>
      <c r="C58" s="14">
        <v>62</v>
      </c>
      <c r="D58" s="16" t="s">
        <v>9</v>
      </c>
      <c r="E58" s="16" t="s">
        <v>10</v>
      </c>
      <c r="F58" s="16">
        <v>21</v>
      </c>
      <c r="G58" s="16">
        <v>11</v>
      </c>
      <c r="H58" s="16">
        <v>4</v>
      </c>
      <c r="I58" s="16" t="s">
        <v>23</v>
      </c>
      <c r="J58" s="16" t="s">
        <v>14</v>
      </c>
      <c r="K58" s="16" t="s">
        <v>15</v>
      </c>
      <c r="L58" s="16"/>
      <c r="M58" s="16" t="str">
        <f>HYPERLINK("http://www.stromypodkontrolou.cz/map/tree/eb9fcfc1-f6fa-405f-85c7-690b2fb79ecd/09ee7116-8ddc-499c-8428-2d94589412ca")</f>
        <v>http://www.stromypodkontrolou.cz/map/tree/eb9fcfc1-f6fa-405f-85c7-690b2fb79ecd/09ee7116-8ddc-499c-8428-2d94589412ca</v>
      </c>
      <c r="N58" s="5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</row>
    <row r="59" spans="1:14" s="3" customFormat="1" ht="45">
      <c r="A59" s="9">
        <v>55</v>
      </c>
      <c r="B59" s="10" t="s">
        <v>36</v>
      </c>
      <c r="C59" s="11">
        <v>73</v>
      </c>
      <c r="D59" s="10" t="s">
        <v>31</v>
      </c>
      <c r="E59" s="10" t="s">
        <v>32</v>
      </c>
      <c r="F59" s="10">
        <v>50</v>
      </c>
      <c r="G59" s="10">
        <v>15</v>
      </c>
      <c r="H59" s="10">
        <v>10</v>
      </c>
      <c r="I59" s="10"/>
      <c r="J59" s="10" t="s">
        <v>14</v>
      </c>
      <c r="K59" s="10" t="s">
        <v>15</v>
      </c>
      <c r="L59" s="10" t="s">
        <v>17</v>
      </c>
      <c r="M59" s="10" t="str">
        <f>HYPERLINK("http://www.stromypodkontrolou.cz/map/tree/eb9fcfc1-f6fa-405f-85c7-690b2fb79ecd/e1701f46-cf82-4da9-b242-122dea98c1b5")</f>
        <v>http://www.stromypodkontrolou.cz/map/tree/eb9fcfc1-f6fa-405f-85c7-690b2fb79ecd/e1701f46-cf82-4da9-b242-122dea98c1b5</v>
      </c>
      <c r="N59" s="53"/>
    </row>
    <row r="60" spans="1:207" s="15" customFormat="1" ht="45">
      <c r="A60" s="12">
        <v>56</v>
      </c>
      <c r="B60" s="16" t="s">
        <v>36</v>
      </c>
      <c r="C60" s="14">
        <v>84</v>
      </c>
      <c r="D60" s="16" t="s">
        <v>27</v>
      </c>
      <c r="E60" s="16" t="s">
        <v>28</v>
      </c>
      <c r="F60" s="16">
        <v>54</v>
      </c>
      <c r="G60" s="16">
        <v>24</v>
      </c>
      <c r="H60" s="16">
        <v>9</v>
      </c>
      <c r="I60" s="16" t="s">
        <v>41</v>
      </c>
      <c r="J60" s="16" t="s">
        <v>25</v>
      </c>
      <c r="K60" s="16" t="s">
        <v>26</v>
      </c>
      <c r="L60" s="16"/>
      <c r="M60" s="16" t="str">
        <f>HYPERLINK("http://www.stromypodkontrolou.cz/map/tree/eb9fcfc1-f6fa-405f-85c7-690b2fb79ecd/b4df0845-5993-4ba3-9319-84fc7e36b2d1")</f>
        <v>http://www.stromypodkontrolou.cz/map/tree/eb9fcfc1-f6fa-405f-85c7-690b2fb79ecd/b4df0845-5993-4ba3-9319-84fc7e36b2d1</v>
      </c>
      <c r="N60" s="5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</row>
    <row r="61" spans="1:14" s="3" customFormat="1" ht="25.5" customHeight="1">
      <c r="A61" s="9">
        <v>57</v>
      </c>
      <c r="B61" s="38" t="s">
        <v>42</v>
      </c>
      <c r="C61" s="41">
        <v>25</v>
      </c>
      <c r="D61" s="38" t="s">
        <v>9</v>
      </c>
      <c r="E61" s="38" t="s">
        <v>10</v>
      </c>
      <c r="F61" s="38">
        <v>41</v>
      </c>
      <c r="G61" s="38">
        <v>14</v>
      </c>
      <c r="H61" s="38">
        <v>11</v>
      </c>
      <c r="I61" s="38" t="s">
        <v>43</v>
      </c>
      <c r="J61" s="10" t="s">
        <v>12</v>
      </c>
      <c r="K61" s="10" t="s">
        <v>13</v>
      </c>
      <c r="L61" s="10" t="s">
        <v>17</v>
      </c>
      <c r="M61" s="38" t="str">
        <f>HYPERLINK("http://www.stromypodkontrolou.cz/map/tree/eb9fcfc1-f6fa-405f-85c7-690b2fb79ecd/3f44b94e-badb-43c5-8685-8bf2a1584d74")</f>
        <v>http://www.stromypodkontrolou.cz/map/tree/eb9fcfc1-f6fa-405f-85c7-690b2fb79ecd/3f44b94e-badb-43c5-8685-8bf2a1584d74</v>
      </c>
      <c r="N61" s="53"/>
    </row>
    <row r="62" spans="1:14" s="3" customFormat="1" ht="24.75" customHeight="1">
      <c r="A62" s="9">
        <v>58</v>
      </c>
      <c r="B62" s="38" t="s">
        <v>42</v>
      </c>
      <c r="C62" s="41">
        <v>25</v>
      </c>
      <c r="D62" s="38" t="s">
        <v>9</v>
      </c>
      <c r="E62" s="38" t="s">
        <v>10</v>
      </c>
      <c r="F62" s="38">
        <v>41</v>
      </c>
      <c r="G62" s="38">
        <v>14</v>
      </c>
      <c r="H62" s="38">
        <v>11</v>
      </c>
      <c r="I62" s="38" t="s">
        <v>43</v>
      </c>
      <c r="J62" s="10" t="s">
        <v>14</v>
      </c>
      <c r="K62" s="10" t="s">
        <v>15</v>
      </c>
      <c r="L62" s="10"/>
      <c r="M62" s="38" t="str">
        <f>HYPERLINK("http://www.stromypodkontrolou.cz/map/tree/eb9fcfc1-f6fa-405f-85c7-690b2fb79ecd/3f44b94e-badb-43c5-8685-8bf2a1584d74")</f>
        <v>http://www.stromypodkontrolou.cz/map/tree/eb9fcfc1-f6fa-405f-85c7-690b2fb79ecd/3f44b94e-badb-43c5-8685-8bf2a1584d74</v>
      </c>
      <c r="N62" s="53"/>
    </row>
    <row r="63" spans="1:207" s="15" customFormat="1" ht="22.5">
      <c r="A63" s="12">
        <v>59</v>
      </c>
      <c r="B63" s="46" t="s">
        <v>42</v>
      </c>
      <c r="C63" s="47">
        <v>32</v>
      </c>
      <c r="D63" s="46" t="s">
        <v>44</v>
      </c>
      <c r="E63" s="46" t="s">
        <v>45</v>
      </c>
      <c r="F63" s="46">
        <v>14</v>
      </c>
      <c r="G63" s="46">
        <v>6</v>
      </c>
      <c r="H63" s="46">
        <v>4</v>
      </c>
      <c r="I63" s="46"/>
      <c r="J63" s="16" t="s">
        <v>12</v>
      </c>
      <c r="K63" s="16" t="s">
        <v>13</v>
      </c>
      <c r="L63" s="43"/>
      <c r="M63" s="46" t="str">
        <f>HYPERLINK("http://www.stromypodkontrolou.cz/map/tree/eb9fcfc1-f6fa-405f-85c7-690b2fb79ecd/36330b77-8712-4829-9e7a-2323a2d42081")</f>
        <v>http://www.stromypodkontrolou.cz/map/tree/eb9fcfc1-f6fa-405f-85c7-690b2fb79ecd/36330b77-8712-4829-9e7a-2323a2d42081</v>
      </c>
      <c r="N63" s="5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</row>
    <row r="64" spans="1:207" s="15" customFormat="1" ht="12.75">
      <c r="A64" s="12">
        <v>60</v>
      </c>
      <c r="B64" s="46"/>
      <c r="C64" s="47"/>
      <c r="D64" s="46"/>
      <c r="E64" s="46"/>
      <c r="F64" s="46"/>
      <c r="G64" s="46"/>
      <c r="H64" s="46"/>
      <c r="I64" s="46"/>
      <c r="J64" s="16" t="s">
        <v>280</v>
      </c>
      <c r="K64" s="16" t="s">
        <v>281</v>
      </c>
      <c r="L64" s="43"/>
      <c r="M64" s="46"/>
      <c r="N64" s="5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</row>
    <row r="65" spans="1:14" s="3" customFormat="1" ht="45">
      <c r="A65" s="9">
        <v>61</v>
      </c>
      <c r="B65" s="10" t="s">
        <v>46</v>
      </c>
      <c r="C65" s="11">
        <v>80</v>
      </c>
      <c r="D65" s="10" t="s">
        <v>47</v>
      </c>
      <c r="E65" s="10" t="s">
        <v>48</v>
      </c>
      <c r="F65" s="10">
        <v>37</v>
      </c>
      <c r="G65" s="10">
        <v>19</v>
      </c>
      <c r="H65" s="10">
        <v>9</v>
      </c>
      <c r="I65" s="10"/>
      <c r="J65" s="10" t="s">
        <v>14</v>
      </c>
      <c r="K65" s="10" t="s">
        <v>15</v>
      </c>
      <c r="L65" s="10"/>
      <c r="M65" s="10" t="str">
        <f>HYPERLINK("http://www.stromypodkontrolou.cz/map/tree/eb9fcfc1-f6fa-405f-85c7-690b2fb79ecd/28f19086-e32b-4da3-987e-e02fccbe850b")</f>
        <v>http://www.stromypodkontrolou.cz/map/tree/eb9fcfc1-f6fa-405f-85c7-690b2fb79ecd/28f19086-e32b-4da3-987e-e02fccbe850b</v>
      </c>
      <c r="N65" s="53"/>
    </row>
    <row r="66" spans="1:207" s="15" customFormat="1" ht="22.5">
      <c r="A66" s="12">
        <v>62</v>
      </c>
      <c r="B66" s="46" t="s">
        <v>46</v>
      </c>
      <c r="C66" s="47">
        <v>81</v>
      </c>
      <c r="D66" s="46" t="s">
        <v>49</v>
      </c>
      <c r="E66" s="46" t="s">
        <v>50</v>
      </c>
      <c r="F66" s="46">
        <v>42</v>
      </c>
      <c r="G66" s="46">
        <v>20</v>
      </c>
      <c r="H66" s="46">
        <v>8</v>
      </c>
      <c r="I66" s="46" t="s">
        <v>51</v>
      </c>
      <c r="J66" s="16" t="s">
        <v>12</v>
      </c>
      <c r="K66" s="16" t="s">
        <v>13</v>
      </c>
      <c r="L66" s="43"/>
      <c r="M66" s="46" t="str">
        <f>HYPERLINK("http://www.stromypodkontrolou.cz/map/tree/eb9fcfc1-f6fa-405f-85c7-690b2fb79ecd/cca6738c-804b-40d3-94da-871bc4899ae3")</f>
        <v>http://www.stromypodkontrolou.cz/map/tree/eb9fcfc1-f6fa-405f-85c7-690b2fb79ecd/cca6738c-804b-40d3-94da-871bc4899ae3</v>
      </c>
      <c r="N66" s="5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</row>
    <row r="67" spans="1:207" s="15" customFormat="1" ht="36.75" customHeight="1">
      <c r="A67" s="12">
        <v>63</v>
      </c>
      <c r="B67" s="46" t="s">
        <v>46</v>
      </c>
      <c r="C67" s="47">
        <v>81</v>
      </c>
      <c r="D67" s="46" t="s">
        <v>49</v>
      </c>
      <c r="E67" s="46" t="s">
        <v>50</v>
      </c>
      <c r="F67" s="46">
        <v>42</v>
      </c>
      <c r="G67" s="46">
        <v>20</v>
      </c>
      <c r="H67" s="46">
        <v>8</v>
      </c>
      <c r="I67" s="46" t="s">
        <v>51</v>
      </c>
      <c r="J67" s="16" t="s">
        <v>14</v>
      </c>
      <c r="K67" s="16" t="s">
        <v>15</v>
      </c>
      <c r="L67" s="43"/>
      <c r="M67" s="46" t="str">
        <f>HYPERLINK("http://www.stromypodkontrolou.cz/map/tree/eb9fcfc1-f6fa-405f-85c7-690b2fb79ecd/cca6738c-804b-40d3-94da-871bc4899ae3")</f>
        <v>http://www.stromypodkontrolou.cz/map/tree/eb9fcfc1-f6fa-405f-85c7-690b2fb79ecd/cca6738c-804b-40d3-94da-871bc4899ae3</v>
      </c>
      <c r="N67" s="5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</row>
    <row r="68" spans="1:14" s="3" customFormat="1" ht="12.75" customHeight="1">
      <c r="A68" s="9">
        <v>64</v>
      </c>
      <c r="B68" s="10" t="s">
        <v>46</v>
      </c>
      <c r="C68" s="11">
        <v>124</v>
      </c>
      <c r="D68" s="10" t="s">
        <v>52</v>
      </c>
      <c r="E68" s="10" t="s">
        <v>53</v>
      </c>
      <c r="F68" s="10">
        <v>3</v>
      </c>
      <c r="G68" s="10">
        <v>2</v>
      </c>
      <c r="H68" s="10">
        <v>1</v>
      </c>
      <c r="I68" s="10"/>
      <c r="J68" s="10" t="s">
        <v>54</v>
      </c>
      <c r="K68" s="10" t="s">
        <v>55</v>
      </c>
      <c r="L68" s="10"/>
      <c r="M68" s="10" t="str">
        <f>HYPERLINK("http://www.stromypodkontrolou.cz/map/tree/eb9fcfc1-f6fa-405f-85c7-690b2fb79ecd/051484c1-b8ec-4d01-9214-55eb7bf4e8a7")</f>
        <v>http://www.stromypodkontrolou.cz/map/tree/eb9fcfc1-f6fa-405f-85c7-690b2fb79ecd/051484c1-b8ec-4d01-9214-55eb7bf4e8a7</v>
      </c>
      <c r="N68" s="53"/>
    </row>
    <row r="69" spans="1:207" s="15" customFormat="1" ht="45">
      <c r="A69" s="12">
        <v>65</v>
      </c>
      <c r="B69" s="16" t="s">
        <v>46</v>
      </c>
      <c r="C69" s="14">
        <v>159</v>
      </c>
      <c r="D69" s="16" t="s">
        <v>31</v>
      </c>
      <c r="E69" s="16" t="s">
        <v>32</v>
      </c>
      <c r="F69" s="16">
        <v>18</v>
      </c>
      <c r="G69" s="16">
        <v>10</v>
      </c>
      <c r="H69" s="16">
        <v>7</v>
      </c>
      <c r="I69" s="16"/>
      <c r="J69" s="16" t="s">
        <v>54</v>
      </c>
      <c r="K69" s="16" t="s">
        <v>55</v>
      </c>
      <c r="L69" s="16"/>
      <c r="M69" s="16" t="str">
        <f>HYPERLINK("http://www.stromypodkontrolou.cz/map/tree/eb9fcfc1-f6fa-405f-85c7-690b2fb79ecd/816557d7-b6f0-4ea6-8947-cf06cea4efec")</f>
        <v>http://www.stromypodkontrolou.cz/map/tree/eb9fcfc1-f6fa-405f-85c7-690b2fb79ecd/816557d7-b6f0-4ea6-8947-cf06cea4efec</v>
      </c>
      <c r="N69" s="5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</row>
    <row r="70" spans="1:14" s="3" customFormat="1" ht="45">
      <c r="A70" s="9">
        <v>66</v>
      </c>
      <c r="B70" s="10" t="s">
        <v>46</v>
      </c>
      <c r="C70" s="11">
        <v>237</v>
      </c>
      <c r="D70" s="10" t="s">
        <v>47</v>
      </c>
      <c r="E70" s="10" t="s">
        <v>48</v>
      </c>
      <c r="F70" s="10">
        <v>40</v>
      </c>
      <c r="G70" s="10">
        <v>14</v>
      </c>
      <c r="H70" s="10">
        <v>9</v>
      </c>
      <c r="I70" s="10" t="s">
        <v>56</v>
      </c>
      <c r="J70" s="10" t="s">
        <v>25</v>
      </c>
      <c r="K70" s="10" t="s">
        <v>26</v>
      </c>
      <c r="L70" s="10" t="s">
        <v>57</v>
      </c>
      <c r="M70" s="10" t="str">
        <f>HYPERLINK("http://www.stromypodkontrolou.cz/map/tree/eb9fcfc1-f6fa-405f-85c7-690b2fb79ecd/a0fc0a9d-a0a8-43ad-b058-bdc963bfdb56")</f>
        <v>http://www.stromypodkontrolou.cz/map/tree/eb9fcfc1-f6fa-405f-85c7-690b2fb79ecd/a0fc0a9d-a0a8-43ad-b058-bdc963bfdb56</v>
      </c>
      <c r="N70" s="53"/>
    </row>
    <row r="71" spans="1:207" s="15" customFormat="1" ht="45">
      <c r="A71" s="12">
        <v>67</v>
      </c>
      <c r="B71" s="16" t="s">
        <v>46</v>
      </c>
      <c r="C71" s="14">
        <v>252</v>
      </c>
      <c r="D71" s="16" t="s">
        <v>31</v>
      </c>
      <c r="E71" s="16" t="s">
        <v>32</v>
      </c>
      <c r="F71" s="16">
        <v>23</v>
      </c>
      <c r="G71" s="16">
        <v>14</v>
      </c>
      <c r="H71" s="16">
        <v>8</v>
      </c>
      <c r="I71" s="16" t="s">
        <v>23</v>
      </c>
      <c r="J71" s="16" t="s">
        <v>14</v>
      </c>
      <c r="K71" s="16" t="s">
        <v>15</v>
      </c>
      <c r="L71" s="16" t="s">
        <v>17</v>
      </c>
      <c r="M71" s="16" t="str">
        <f>HYPERLINK("http://www.stromypodkontrolou.cz/map/tree/eb9fcfc1-f6fa-405f-85c7-690b2fb79ecd/3f810be6-b158-40f4-ad63-28ec38c9cea0")</f>
        <v>http://www.stromypodkontrolou.cz/map/tree/eb9fcfc1-f6fa-405f-85c7-690b2fb79ecd/3f810be6-b158-40f4-ad63-28ec38c9cea0</v>
      </c>
      <c r="N71" s="5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</row>
    <row r="72" spans="1:14" s="3" customFormat="1" ht="45">
      <c r="A72" s="9">
        <v>68</v>
      </c>
      <c r="B72" s="10" t="s">
        <v>46</v>
      </c>
      <c r="C72" s="11">
        <v>290</v>
      </c>
      <c r="D72" s="10" t="s">
        <v>58</v>
      </c>
      <c r="E72" s="10" t="s">
        <v>59</v>
      </c>
      <c r="F72" s="10">
        <v>53</v>
      </c>
      <c r="G72" s="10">
        <v>18</v>
      </c>
      <c r="H72" s="10">
        <v>10</v>
      </c>
      <c r="I72" s="10" t="s">
        <v>60</v>
      </c>
      <c r="J72" s="10" t="s">
        <v>12</v>
      </c>
      <c r="K72" s="10" t="s">
        <v>13</v>
      </c>
      <c r="L72" s="10"/>
      <c r="M72" s="10" t="str">
        <f>HYPERLINK("http://www.stromypodkontrolou.cz/map/tree/eb9fcfc1-f6fa-405f-85c7-690b2fb79ecd/f95b895c-0f66-4a2a-af2e-af4d0d21adc9")</f>
        <v>http://www.stromypodkontrolou.cz/map/tree/eb9fcfc1-f6fa-405f-85c7-690b2fb79ecd/f95b895c-0f66-4a2a-af2e-af4d0d21adc9</v>
      </c>
      <c r="N72" s="53"/>
    </row>
    <row r="73" spans="1:207" s="15" customFormat="1" ht="45">
      <c r="A73" s="12">
        <v>69</v>
      </c>
      <c r="B73" s="16" t="s">
        <v>46</v>
      </c>
      <c r="C73" s="14">
        <v>588</v>
      </c>
      <c r="D73" s="16" t="s">
        <v>58</v>
      </c>
      <c r="E73" s="16" t="s">
        <v>59</v>
      </c>
      <c r="F73" s="16">
        <v>28</v>
      </c>
      <c r="G73" s="16">
        <v>8</v>
      </c>
      <c r="H73" s="16">
        <v>8</v>
      </c>
      <c r="I73" s="16"/>
      <c r="J73" s="16" t="s">
        <v>14</v>
      </c>
      <c r="K73" s="16" t="s">
        <v>15</v>
      </c>
      <c r="L73" s="16"/>
      <c r="M73" s="16" t="str">
        <f>HYPERLINK("http://www.stromypodkontrolou.cz/map/tree/eb9fcfc1-f6fa-405f-85c7-690b2fb79ecd/60f33476-926b-4d5b-8d3c-8bcae09dc981")</f>
        <v>http://www.stromypodkontrolou.cz/map/tree/eb9fcfc1-f6fa-405f-85c7-690b2fb79ecd/60f33476-926b-4d5b-8d3c-8bcae09dc981</v>
      </c>
      <c r="N73" s="5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</row>
    <row r="74" spans="1:14" s="3" customFormat="1" ht="22.5">
      <c r="A74" s="9">
        <v>70</v>
      </c>
      <c r="B74" s="38" t="s">
        <v>73</v>
      </c>
      <c r="C74" s="41">
        <v>78</v>
      </c>
      <c r="D74" s="38" t="s">
        <v>9</v>
      </c>
      <c r="E74" s="38" t="s">
        <v>10</v>
      </c>
      <c r="F74" s="38">
        <v>34</v>
      </c>
      <c r="G74" s="38">
        <v>14</v>
      </c>
      <c r="H74" s="38">
        <v>10</v>
      </c>
      <c r="I74" s="38"/>
      <c r="J74" s="10" t="s">
        <v>14</v>
      </c>
      <c r="K74" s="10" t="s">
        <v>15</v>
      </c>
      <c r="L74" s="10" t="s">
        <v>22</v>
      </c>
      <c r="M74" s="38" t="str">
        <f>HYPERLINK("http://www.stromypodkontrolou.cz/map/tree/eb9fcfc1-f6fa-405f-85c7-690b2fb79ecd/2b449ae5-ecca-416c-b0a6-92406afd0795")</f>
        <v>http://www.stromypodkontrolou.cz/map/tree/eb9fcfc1-f6fa-405f-85c7-690b2fb79ecd/2b449ae5-ecca-416c-b0a6-92406afd0795</v>
      </c>
      <c r="N74" s="53"/>
    </row>
    <row r="75" spans="1:14" s="3" customFormat="1" ht="22.5">
      <c r="A75" s="9">
        <v>71</v>
      </c>
      <c r="B75" s="38"/>
      <c r="C75" s="41"/>
      <c r="D75" s="38"/>
      <c r="E75" s="38"/>
      <c r="F75" s="38"/>
      <c r="G75" s="38"/>
      <c r="H75" s="38"/>
      <c r="I75" s="38"/>
      <c r="J75" s="10" t="s">
        <v>19</v>
      </c>
      <c r="K75" s="10" t="s">
        <v>20</v>
      </c>
      <c r="L75" s="10"/>
      <c r="M75" s="38"/>
      <c r="N75" s="53"/>
    </row>
    <row r="76" spans="1:207" s="15" customFormat="1" ht="22.5">
      <c r="A76" s="12">
        <v>72</v>
      </c>
      <c r="B76" s="46" t="s">
        <v>73</v>
      </c>
      <c r="C76" s="47">
        <v>102</v>
      </c>
      <c r="D76" s="46" t="s">
        <v>9</v>
      </c>
      <c r="E76" s="46" t="s">
        <v>10</v>
      </c>
      <c r="F76" s="46">
        <v>28</v>
      </c>
      <c r="G76" s="46">
        <v>17</v>
      </c>
      <c r="H76" s="46">
        <v>10</v>
      </c>
      <c r="I76" s="46"/>
      <c r="J76" s="16" t="s">
        <v>25</v>
      </c>
      <c r="K76" s="16" t="s">
        <v>26</v>
      </c>
      <c r="L76" s="43"/>
      <c r="M76" s="46" t="str">
        <f>HYPERLINK("http://www.stromypodkontrolou.cz/map/tree/eb9fcfc1-f6fa-405f-85c7-690b2fb79ecd/619a563a-66f3-4e13-ac98-c449949858cf")</f>
        <v>http://www.stromypodkontrolou.cz/map/tree/eb9fcfc1-f6fa-405f-85c7-690b2fb79ecd/619a563a-66f3-4e13-ac98-c449949858cf</v>
      </c>
      <c r="N76" s="5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</row>
    <row r="77" spans="1:207" s="15" customFormat="1" ht="12.75">
      <c r="A77" s="12">
        <v>73</v>
      </c>
      <c r="B77" s="46" t="s">
        <v>73</v>
      </c>
      <c r="C77" s="47">
        <v>102</v>
      </c>
      <c r="D77" s="46" t="s">
        <v>9</v>
      </c>
      <c r="E77" s="46" t="s">
        <v>10</v>
      </c>
      <c r="F77" s="46">
        <v>28</v>
      </c>
      <c r="G77" s="46">
        <v>17</v>
      </c>
      <c r="H77" s="46">
        <v>10</v>
      </c>
      <c r="I77" s="46"/>
      <c r="J77" s="16" t="s">
        <v>14</v>
      </c>
      <c r="K77" s="16" t="s">
        <v>15</v>
      </c>
      <c r="L77" s="43"/>
      <c r="M77" s="46" t="str">
        <f>HYPERLINK("http://www.stromypodkontrolou.cz/map/tree/eb9fcfc1-f6fa-405f-85c7-690b2fb79ecd/619a563a-66f3-4e13-ac98-c449949858cf")</f>
        <v>http://www.stromypodkontrolou.cz/map/tree/eb9fcfc1-f6fa-405f-85c7-690b2fb79ecd/619a563a-66f3-4e13-ac98-c449949858cf</v>
      </c>
      <c r="N77" s="5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</row>
    <row r="78" spans="1:14" s="3" customFormat="1" ht="45">
      <c r="A78" s="9">
        <v>74</v>
      </c>
      <c r="B78" s="10" t="s">
        <v>78</v>
      </c>
      <c r="C78" s="11">
        <v>25</v>
      </c>
      <c r="D78" s="10" t="s">
        <v>31</v>
      </c>
      <c r="E78" s="10" t="s">
        <v>32</v>
      </c>
      <c r="F78" s="10">
        <v>35</v>
      </c>
      <c r="G78" s="10">
        <v>13</v>
      </c>
      <c r="H78" s="10">
        <v>5</v>
      </c>
      <c r="I78" s="10" t="s">
        <v>79</v>
      </c>
      <c r="J78" s="10" t="s">
        <v>14</v>
      </c>
      <c r="K78" s="10" t="s">
        <v>15</v>
      </c>
      <c r="L78" s="10"/>
      <c r="M78" s="10" t="str">
        <f>HYPERLINK("http://www.stromypodkontrolou.cz/map/tree/eb9fcfc1-f6fa-405f-85c7-690b2fb79ecd/02507754-e040-4bac-8dcc-95711391ad81")</f>
        <v>http://www.stromypodkontrolou.cz/map/tree/eb9fcfc1-f6fa-405f-85c7-690b2fb79ecd/02507754-e040-4bac-8dcc-95711391ad81</v>
      </c>
      <c r="N78" s="53"/>
    </row>
    <row r="79" spans="1:207" s="15" customFormat="1" ht="12.75">
      <c r="A79" s="12">
        <v>75</v>
      </c>
      <c r="B79" s="46" t="s">
        <v>78</v>
      </c>
      <c r="C79" s="47">
        <v>38</v>
      </c>
      <c r="D79" s="46" t="s">
        <v>9</v>
      </c>
      <c r="E79" s="46" t="s">
        <v>10</v>
      </c>
      <c r="F79" s="46">
        <v>35</v>
      </c>
      <c r="G79" s="46">
        <v>13</v>
      </c>
      <c r="H79" s="46">
        <v>7</v>
      </c>
      <c r="I79" s="46" t="s">
        <v>80</v>
      </c>
      <c r="J79" s="16" t="s">
        <v>14</v>
      </c>
      <c r="K79" s="16" t="s">
        <v>15</v>
      </c>
      <c r="L79" s="16"/>
      <c r="M79" s="46" t="str">
        <f>HYPERLINK("http://www.stromypodkontrolou.cz/map/tree/eb9fcfc1-f6fa-405f-85c7-690b2fb79ecd/b4715575-8747-446b-b297-881118df988f")</f>
        <v>http://www.stromypodkontrolou.cz/map/tree/eb9fcfc1-f6fa-405f-85c7-690b2fb79ecd/b4715575-8747-446b-b297-881118df988f</v>
      </c>
      <c r="N79" s="5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</row>
    <row r="80" spans="1:207" s="15" customFormat="1" ht="45">
      <c r="A80" s="12">
        <v>76</v>
      </c>
      <c r="B80" s="46" t="s">
        <v>78</v>
      </c>
      <c r="C80" s="47">
        <v>38</v>
      </c>
      <c r="D80" s="46" t="s">
        <v>9</v>
      </c>
      <c r="E80" s="46" t="s">
        <v>10</v>
      </c>
      <c r="F80" s="46">
        <v>35</v>
      </c>
      <c r="G80" s="46">
        <v>13</v>
      </c>
      <c r="H80" s="46">
        <v>7</v>
      </c>
      <c r="I80" s="46" t="s">
        <v>80</v>
      </c>
      <c r="J80" s="16" t="s">
        <v>12</v>
      </c>
      <c r="K80" s="16" t="s">
        <v>13</v>
      </c>
      <c r="L80" s="16" t="s">
        <v>81</v>
      </c>
      <c r="M80" s="46" t="str">
        <f>HYPERLINK("http://www.stromypodkontrolou.cz/map/tree/eb9fcfc1-f6fa-405f-85c7-690b2fb79ecd/b4715575-8747-446b-b297-881118df988f")</f>
        <v>http://www.stromypodkontrolou.cz/map/tree/eb9fcfc1-f6fa-405f-85c7-690b2fb79ecd/b4715575-8747-446b-b297-881118df988f</v>
      </c>
      <c r="N80" s="5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</row>
    <row r="81" spans="1:207" s="15" customFormat="1" ht="14.25" customHeight="1">
      <c r="A81" s="12">
        <v>77</v>
      </c>
      <c r="B81" s="46"/>
      <c r="C81" s="47"/>
      <c r="D81" s="46"/>
      <c r="E81" s="46"/>
      <c r="F81" s="46"/>
      <c r="G81" s="46"/>
      <c r="H81" s="46"/>
      <c r="I81" s="46"/>
      <c r="J81" s="16" t="s">
        <v>280</v>
      </c>
      <c r="K81" s="16" t="s">
        <v>281</v>
      </c>
      <c r="L81" s="16"/>
      <c r="M81" s="46"/>
      <c r="N81" s="5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</row>
    <row r="82" spans="1:14" s="3" customFormat="1" ht="12.75">
      <c r="A82" s="9">
        <v>78</v>
      </c>
      <c r="B82" s="38" t="s">
        <v>82</v>
      </c>
      <c r="C82" s="41">
        <v>21</v>
      </c>
      <c r="D82" s="38" t="s">
        <v>83</v>
      </c>
      <c r="E82" s="38" t="s">
        <v>84</v>
      </c>
      <c r="F82" s="38">
        <v>27</v>
      </c>
      <c r="G82" s="38">
        <v>15</v>
      </c>
      <c r="H82" s="38">
        <v>6</v>
      </c>
      <c r="I82" s="38" t="s">
        <v>85</v>
      </c>
      <c r="J82" s="10" t="s">
        <v>14</v>
      </c>
      <c r="K82" s="10" t="s">
        <v>15</v>
      </c>
      <c r="L82" s="42"/>
      <c r="M82" s="38" t="str">
        <f>HYPERLINK("http://www.stromypodkontrolou.cz/map/tree/eb9fcfc1-f6fa-405f-85c7-690b2fb79ecd/97207ca0-c968-48d3-a81b-12adc7b23c2e")</f>
        <v>http://www.stromypodkontrolou.cz/map/tree/eb9fcfc1-f6fa-405f-85c7-690b2fb79ecd/97207ca0-c968-48d3-a81b-12adc7b23c2e</v>
      </c>
      <c r="N82" s="53"/>
    </row>
    <row r="83" spans="1:14" s="3" customFormat="1" ht="22.5">
      <c r="A83" s="9">
        <v>79</v>
      </c>
      <c r="B83" s="38" t="s">
        <v>82</v>
      </c>
      <c r="C83" s="41">
        <v>21</v>
      </c>
      <c r="D83" s="38" t="s">
        <v>83</v>
      </c>
      <c r="E83" s="38" t="s">
        <v>84</v>
      </c>
      <c r="F83" s="38">
        <v>27</v>
      </c>
      <c r="G83" s="38">
        <v>15</v>
      </c>
      <c r="H83" s="38">
        <v>6</v>
      </c>
      <c r="I83" s="38" t="s">
        <v>85</v>
      </c>
      <c r="J83" s="10" t="s">
        <v>19</v>
      </c>
      <c r="K83" s="10" t="s">
        <v>20</v>
      </c>
      <c r="L83" s="42"/>
      <c r="M83" s="38" t="str">
        <f>HYPERLINK("http://www.stromypodkontrolou.cz/map/tree/eb9fcfc1-f6fa-405f-85c7-690b2fb79ecd/97207ca0-c968-48d3-a81b-12adc7b23c2e")</f>
        <v>http://www.stromypodkontrolou.cz/map/tree/eb9fcfc1-f6fa-405f-85c7-690b2fb79ecd/97207ca0-c968-48d3-a81b-12adc7b23c2e</v>
      </c>
      <c r="N83" s="53"/>
    </row>
    <row r="84" spans="1:207" s="15" customFormat="1" ht="45">
      <c r="A84" s="12">
        <v>80</v>
      </c>
      <c r="B84" s="16" t="s">
        <v>82</v>
      </c>
      <c r="C84" s="14">
        <v>48</v>
      </c>
      <c r="D84" s="16" t="s">
        <v>89</v>
      </c>
      <c r="E84" s="16" t="s">
        <v>87</v>
      </c>
      <c r="F84" s="16">
        <v>78</v>
      </c>
      <c r="G84" s="16">
        <v>20</v>
      </c>
      <c r="H84" s="16">
        <v>12</v>
      </c>
      <c r="I84" s="16" t="s">
        <v>88</v>
      </c>
      <c r="J84" s="16" t="s">
        <v>14</v>
      </c>
      <c r="K84" s="16" t="s">
        <v>15</v>
      </c>
      <c r="L84" s="16"/>
      <c r="M84" s="16" t="str">
        <f>HYPERLINK("http://www.stromypodkontrolou.cz/map/tree/eb9fcfc1-f6fa-405f-85c7-690b2fb79ecd/239e07b8-b025-42de-b3fc-06c8abe3649d")</f>
        <v>http://www.stromypodkontrolou.cz/map/tree/eb9fcfc1-f6fa-405f-85c7-690b2fb79ecd/239e07b8-b025-42de-b3fc-06c8abe3649d</v>
      </c>
      <c r="N84" s="5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</row>
    <row r="85" spans="1:14" s="3" customFormat="1" ht="45">
      <c r="A85" s="9">
        <v>81</v>
      </c>
      <c r="B85" s="10" t="s">
        <v>82</v>
      </c>
      <c r="C85" s="11">
        <v>54</v>
      </c>
      <c r="D85" s="10" t="s">
        <v>89</v>
      </c>
      <c r="E85" s="10" t="s">
        <v>90</v>
      </c>
      <c r="F85" s="10">
        <v>48</v>
      </c>
      <c r="G85" s="10">
        <v>22</v>
      </c>
      <c r="H85" s="10">
        <v>11</v>
      </c>
      <c r="I85" s="10" t="s">
        <v>91</v>
      </c>
      <c r="J85" s="10" t="s">
        <v>14</v>
      </c>
      <c r="K85" s="10" t="s">
        <v>15</v>
      </c>
      <c r="L85" s="10"/>
      <c r="M85" s="10" t="str">
        <f>HYPERLINK("http://www.stromypodkontrolou.cz/map/tree/eb9fcfc1-f6fa-405f-85c7-690b2fb79ecd/f0b76905-ce69-4bc0-8e7e-1bef24f3bf13")</f>
        <v>http://www.stromypodkontrolou.cz/map/tree/eb9fcfc1-f6fa-405f-85c7-690b2fb79ecd/f0b76905-ce69-4bc0-8e7e-1bef24f3bf13</v>
      </c>
      <c r="N85" s="53"/>
    </row>
    <row r="86" spans="1:207" s="15" customFormat="1" ht="45">
      <c r="A86" s="12">
        <v>82</v>
      </c>
      <c r="B86" s="16" t="s">
        <v>82</v>
      </c>
      <c r="C86" s="14">
        <v>74</v>
      </c>
      <c r="D86" s="16" t="s">
        <v>92</v>
      </c>
      <c r="E86" s="16" t="s">
        <v>93</v>
      </c>
      <c r="F86" s="16">
        <v>18</v>
      </c>
      <c r="G86" s="16">
        <v>21</v>
      </c>
      <c r="H86" s="16">
        <v>4</v>
      </c>
      <c r="I86" s="16" t="s">
        <v>63</v>
      </c>
      <c r="J86" s="16" t="s">
        <v>12</v>
      </c>
      <c r="K86" s="16" t="s">
        <v>13</v>
      </c>
      <c r="L86" s="16" t="s">
        <v>17</v>
      </c>
      <c r="M86" s="16" t="str">
        <f>HYPERLINK("http://www.stromypodkontrolou.cz/map/tree/eb9fcfc1-f6fa-405f-85c7-690b2fb79ecd/a96dbc47-20b3-4c8b-9e83-eaa4de149055")</f>
        <v>http://www.stromypodkontrolou.cz/map/tree/eb9fcfc1-f6fa-405f-85c7-690b2fb79ecd/a96dbc47-20b3-4c8b-9e83-eaa4de149055</v>
      </c>
      <c r="N86" s="5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</row>
    <row r="87" spans="1:14" s="3" customFormat="1" ht="12.75">
      <c r="A87" s="9">
        <v>83</v>
      </c>
      <c r="B87" s="38" t="s">
        <v>82</v>
      </c>
      <c r="C87" s="41">
        <v>79</v>
      </c>
      <c r="D87" s="38" t="s">
        <v>64</v>
      </c>
      <c r="E87" s="38" t="s">
        <v>65</v>
      </c>
      <c r="F87" s="38">
        <v>39</v>
      </c>
      <c r="G87" s="38">
        <v>20</v>
      </c>
      <c r="H87" s="38">
        <v>6</v>
      </c>
      <c r="I87" s="38" t="s">
        <v>16</v>
      </c>
      <c r="J87" s="10" t="s">
        <v>14</v>
      </c>
      <c r="K87" s="10" t="s">
        <v>15</v>
      </c>
      <c r="L87" s="10"/>
      <c r="M87" s="38" t="str">
        <f>HYPERLINK("http://www.stromypodkontrolou.cz/map/tree/eb9fcfc1-f6fa-405f-85c7-690b2fb79ecd/420257a9-9336-4211-94bd-ec1321c2340b")</f>
        <v>http://www.stromypodkontrolou.cz/map/tree/eb9fcfc1-f6fa-405f-85c7-690b2fb79ecd/420257a9-9336-4211-94bd-ec1321c2340b</v>
      </c>
      <c r="N87" s="53"/>
    </row>
    <row r="88" spans="1:14" s="3" customFormat="1" ht="25.5" customHeight="1">
      <c r="A88" s="9">
        <v>84</v>
      </c>
      <c r="B88" s="38" t="s">
        <v>82</v>
      </c>
      <c r="C88" s="41">
        <v>79</v>
      </c>
      <c r="D88" s="38" t="s">
        <v>64</v>
      </c>
      <c r="E88" s="38" t="s">
        <v>65</v>
      </c>
      <c r="F88" s="38">
        <v>39</v>
      </c>
      <c r="G88" s="38">
        <v>20</v>
      </c>
      <c r="H88" s="38">
        <v>6</v>
      </c>
      <c r="I88" s="38" t="s">
        <v>16</v>
      </c>
      <c r="J88" s="10" t="s">
        <v>12</v>
      </c>
      <c r="K88" s="10" t="s">
        <v>13</v>
      </c>
      <c r="L88" s="10" t="s">
        <v>17</v>
      </c>
      <c r="M88" s="38" t="str">
        <f>HYPERLINK("http://www.stromypodkontrolou.cz/map/tree/eb9fcfc1-f6fa-405f-85c7-690b2fb79ecd/420257a9-9336-4211-94bd-ec1321c2340b")</f>
        <v>http://www.stromypodkontrolou.cz/map/tree/eb9fcfc1-f6fa-405f-85c7-690b2fb79ecd/420257a9-9336-4211-94bd-ec1321c2340b</v>
      </c>
      <c r="N88" s="53"/>
    </row>
    <row r="89" spans="1:207" s="15" customFormat="1" ht="45">
      <c r="A89" s="12">
        <v>85</v>
      </c>
      <c r="B89" s="16" t="s">
        <v>82</v>
      </c>
      <c r="C89" s="14">
        <v>85</v>
      </c>
      <c r="D89" s="16" t="s">
        <v>92</v>
      </c>
      <c r="E89" s="16" t="s">
        <v>93</v>
      </c>
      <c r="F89" s="16">
        <v>22</v>
      </c>
      <c r="G89" s="16">
        <v>22</v>
      </c>
      <c r="H89" s="16">
        <v>5</v>
      </c>
      <c r="I89" s="16" t="s">
        <v>63</v>
      </c>
      <c r="J89" s="16" t="s">
        <v>12</v>
      </c>
      <c r="K89" s="16" t="s">
        <v>13</v>
      </c>
      <c r="L89" s="16" t="s">
        <v>17</v>
      </c>
      <c r="M89" s="16" t="str">
        <f>HYPERLINK("http://www.stromypodkontrolou.cz/map/tree/eb9fcfc1-f6fa-405f-85c7-690b2fb79ecd/323a1de8-928f-4c90-95f0-8581f290566a")</f>
        <v>http://www.stromypodkontrolou.cz/map/tree/eb9fcfc1-f6fa-405f-85c7-690b2fb79ecd/323a1de8-928f-4c90-95f0-8581f290566a</v>
      </c>
      <c r="N89" s="5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</row>
    <row r="90" spans="1:14" s="3" customFormat="1" ht="45">
      <c r="A90" s="9">
        <v>86</v>
      </c>
      <c r="B90" s="10" t="s">
        <v>82</v>
      </c>
      <c r="C90" s="11">
        <v>86</v>
      </c>
      <c r="D90" s="10" t="s">
        <v>92</v>
      </c>
      <c r="E90" s="10" t="s">
        <v>93</v>
      </c>
      <c r="F90" s="10">
        <v>30</v>
      </c>
      <c r="G90" s="10">
        <v>22</v>
      </c>
      <c r="H90" s="10">
        <v>6</v>
      </c>
      <c r="I90" s="10" t="s">
        <v>63</v>
      </c>
      <c r="J90" s="10" t="s">
        <v>12</v>
      </c>
      <c r="K90" s="10" t="s">
        <v>13</v>
      </c>
      <c r="L90" s="10" t="s">
        <v>17</v>
      </c>
      <c r="M90" s="10" t="str">
        <f>HYPERLINK("http://www.stromypodkontrolou.cz/map/tree/eb9fcfc1-f6fa-405f-85c7-690b2fb79ecd/732fcbff-bf13-4c98-b423-f96709e23a85")</f>
        <v>http://www.stromypodkontrolou.cz/map/tree/eb9fcfc1-f6fa-405f-85c7-690b2fb79ecd/732fcbff-bf13-4c98-b423-f96709e23a85</v>
      </c>
      <c r="N90" s="53"/>
    </row>
    <row r="91" spans="1:207" s="15" customFormat="1" ht="45">
      <c r="A91" s="12">
        <v>87</v>
      </c>
      <c r="B91" s="16" t="s">
        <v>94</v>
      </c>
      <c r="C91" s="14">
        <v>1</v>
      </c>
      <c r="D91" s="16" t="s">
        <v>27</v>
      </c>
      <c r="E91" s="16" t="s">
        <v>28</v>
      </c>
      <c r="F91" s="16">
        <v>48</v>
      </c>
      <c r="G91" s="16">
        <v>22</v>
      </c>
      <c r="H91" s="16">
        <v>7</v>
      </c>
      <c r="I91" s="16" t="s">
        <v>95</v>
      </c>
      <c r="J91" s="16" t="s">
        <v>19</v>
      </c>
      <c r="K91" s="16" t="s">
        <v>20</v>
      </c>
      <c r="L91" s="16"/>
      <c r="M91" s="16" t="str">
        <f>HYPERLINK("http://www.stromypodkontrolou.cz/map/tree/eb9fcfc1-f6fa-405f-85c7-690b2fb79ecd/206ab49f-a5c1-42ea-b645-2155e7e7ed11")</f>
        <v>http://www.stromypodkontrolou.cz/map/tree/eb9fcfc1-f6fa-405f-85c7-690b2fb79ecd/206ab49f-a5c1-42ea-b645-2155e7e7ed11</v>
      </c>
      <c r="N91" s="5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</row>
    <row r="92" spans="1:14" s="3" customFormat="1" ht="45">
      <c r="A92" s="9">
        <v>88</v>
      </c>
      <c r="B92" s="10" t="s">
        <v>94</v>
      </c>
      <c r="C92" s="11">
        <v>11</v>
      </c>
      <c r="D92" s="10" t="s">
        <v>27</v>
      </c>
      <c r="E92" s="10" t="s">
        <v>28</v>
      </c>
      <c r="F92" s="10">
        <v>36</v>
      </c>
      <c r="G92" s="10">
        <v>22</v>
      </c>
      <c r="H92" s="10">
        <v>5</v>
      </c>
      <c r="I92" s="10"/>
      <c r="J92" s="10" t="s">
        <v>25</v>
      </c>
      <c r="K92" s="10" t="s">
        <v>26</v>
      </c>
      <c r="L92" s="10"/>
      <c r="M92" s="10" t="str">
        <f>HYPERLINK("http://www.stromypodkontrolou.cz/map/tree/eb9fcfc1-f6fa-405f-85c7-690b2fb79ecd/0f198802-46a7-48a5-ab8b-4a002e309e02")</f>
        <v>http://www.stromypodkontrolou.cz/map/tree/eb9fcfc1-f6fa-405f-85c7-690b2fb79ecd/0f198802-46a7-48a5-ab8b-4a002e309e02</v>
      </c>
      <c r="N92" s="53"/>
    </row>
    <row r="93" spans="1:207" s="15" customFormat="1" ht="56.25">
      <c r="A93" s="12">
        <v>89</v>
      </c>
      <c r="B93" s="46" t="s">
        <v>94</v>
      </c>
      <c r="C93" s="47">
        <v>26</v>
      </c>
      <c r="D93" s="46" t="s">
        <v>37</v>
      </c>
      <c r="E93" s="46" t="s">
        <v>38</v>
      </c>
      <c r="F93" s="46">
        <v>37</v>
      </c>
      <c r="G93" s="46">
        <v>17</v>
      </c>
      <c r="H93" s="46">
        <v>7</v>
      </c>
      <c r="I93" s="46" t="s">
        <v>96</v>
      </c>
      <c r="J93" s="16" t="s">
        <v>12</v>
      </c>
      <c r="K93" s="16" t="s">
        <v>13</v>
      </c>
      <c r="L93" s="16" t="s">
        <v>34</v>
      </c>
      <c r="M93" s="46" t="str">
        <f>HYPERLINK("http://www.stromypodkontrolou.cz/map/tree/eb9fcfc1-f6fa-405f-85c7-690b2fb79ecd/6e62d43a-dd7b-41e5-881f-af33e5039a1d")</f>
        <v>http://www.stromypodkontrolou.cz/map/tree/eb9fcfc1-f6fa-405f-85c7-690b2fb79ecd/6e62d43a-dd7b-41e5-881f-af33e5039a1d</v>
      </c>
      <c r="N93" s="5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</row>
    <row r="94" spans="1:207" s="15" customFormat="1" ht="12.75">
      <c r="A94" s="12">
        <v>90</v>
      </c>
      <c r="B94" s="46" t="s">
        <v>94</v>
      </c>
      <c r="C94" s="47">
        <v>26</v>
      </c>
      <c r="D94" s="46" t="s">
        <v>37</v>
      </c>
      <c r="E94" s="46" t="s">
        <v>38</v>
      </c>
      <c r="F94" s="46">
        <v>37</v>
      </c>
      <c r="G94" s="46">
        <v>17</v>
      </c>
      <c r="H94" s="46">
        <v>7</v>
      </c>
      <c r="I94" s="46" t="s">
        <v>96</v>
      </c>
      <c r="J94" s="16" t="s">
        <v>14</v>
      </c>
      <c r="K94" s="16" t="s">
        <v>15</v>
      </c>
      <c r="L94" s="16"/>
      <c r="M94" s="46" t="str">
        <f>HYPERLINK("http://www.stromypodkontrolou.cz/map/tree/eb9fcfc1-f6fa-405f-85c7-690b2fb79ecd/6e62d43a-dd7b-41e5-881f-af33e5039a1d")</f>
        <v>http://www.stromypodkontrolou.cz/map/tree/eb9fcfc1-f6fa-405f-85c7-690b2fb79ecd/6e62d43a-dd7b-41e5-881f-af33e5039a1d</v>
      </c>
      <c r="N94" s="5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</row>
    <row r="95" spans="1:14" s="3" customFormat="1" ht="45">
      <c r="A95" s="9">
        <v>91</v>
      </c>
      <c r="B95" s="10" t="s">
        <v>94</v>
      </c>
      <c r="C95" s="11">
        <v>123</v>
      </c>
      <c r="D95" s="10" t="s">
        <v>99</v>
      </c>
      <c r="E95" s="10" t="s">
        <v>100</v>
      </c>
      <c r="F95" s="10">
        <v>16</v>
      </c>
      <c r="G95" s="10">
        <v>8</v>
      </c>
      <c r="H95" s="10">
        <v>4</v>
      </c>
      <c r="I95" s="10" t="s">
        <v>63</v>
      </c>
      <c r="J95" s="10" t="s">
        <v>12</v>
      </c>
      <c r="K95" s="10" t="s">
        <v>13</v>
      </c>
      <c r="L95" s="10" t="s">
        <v>17</v>
      </c>
      <c r="M95" s="10" t="str">
        <f>HYPERLINK("http://www.stromypodkontrolou.cz/map/tree/eb9fcfc1-f6fa-405f-85c7-690b2fb79ecd/08458507-ce19-458b-91bf-a68407a847f7")</f>
        <v>http://www.stromypodkontrolou.cz/map/tree/eb9fcfc1-f6fa-405f-85c7-690b2fb79ecd/08458507-ce19-458b-91bf-a68407a847f7</v>
      </c>
      <c r="N95" s="53"/>
    </row>
    <row r="96" spans="1:207" s="15" customFormat="1" ht="45">
      <c r="A96" s="12">
        <v>92</v>
      </c>
      <c r="B96" s="16" t="s">
        <v>101</v>
      </c>
      <c r="C96" s="14">
        <v>17</v>
      </c>
      <c r="D96" s="16" t="s">
        <v>9</v>
      </c>
      <c r="E96" s="16" t="s">
        <v>10</v>
      </c>
      <c r="F96" s="16">
        <v>27</v>
      </c>
      <c r="G96" s="16">
        <v>16</v>
      </c>
      <c r="H96" s="16">
        <v>6</v>
      </c>
      <c r="I96" s="16" t="s">
        <v>102</v>
      </c>
      <c r="J96" s="16" t="s">
        <v>14</v>
      </c>
      <c r="K96" s="16" t="s">
        <v>15</v>
      </c>
      <c r="L96" s="16" t="s">
        <v>17</v>
      </c>
      <c r="M96" s="16" t="str">
        <f>HYPERLINK("http://www.stromypodkontrolou.cz/map/tree/eb9fcfc1-f6fa-405f-85c7-690b2fb79ecd/1d137089-4e02-4dae-ad61-a05f84e5d2a6")</f>
        <v>http://www.stromypodkontrolou.cz/map/tree/eb9fcfc1-f6fa-405f-85c7-690b2fb79ecd/1d137089-4e02-4dae-ad61-a05f84e5d2a6</v>
      </c>
      <c r="N96" s="5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</row>
    <row r="97" spans="1:14" s="3" customFormat="1" ht="22.5">
      <c r="A97" s="9">
        <v>93</v>
      </c>
      <c r="B97" s="38" t="s">
        <v>101</v>
      </c>
      <c r="C97" s="41">
        <v>18</v>
      </c>
      <c r="D97" s="38" t="s">
        <v>9</v>
      </c>
      <c r="E97" s="38" t="s">
        <v>10</v>
      </c>
      <c r="F97" s="38">
        <v>33</v>
      </c>
      <c r="G97" s="38">
        <v>18</v>
      </c>
      <c r="H97" s="38">
        <v>7</v>
      </c>
      <c r="I97" s="38" t="s">
        <v>102</v>
      </c>
      <c r="J97" s="10" t="s">
        <v>12</v>
      </c>
      <c r="K97" s="10" t="s">
        <v>13</v>
      </c>
      <c r="L97" s="42"/>
      <c r="M97" s="38" t="str">
        <f>HYPERLINK("http://www.stromypodkontrolou.cz/map/tree/eb9fcfc1-f6fa-405f-85c7-690b2fb79ecd/3c9eda31-95a3-4a06-806d-6fdc2d0173c9")</f>
        <v>http://www.stromypodkontrolou.cz/map/tree/eb9fcfc1-f6fa-405f-85c7-690b2fb79ecd/3c9eda31-95a3-4a06-806d-6fdc2d0173c9</v>
      </c>
      <c r="N97" s="53"/>
    </row>
    <row r="98" spans="1:14" s="3" customFormat="1" ht="12.75">
      <c r="A98" s="9">
        <v>94</v>
      </c>
      <c r="B98" s="38" t="s">
        <v>101</v>
      </c>
      <c r="C98" s="41">
        <v>18</v>
      </c>
      <c r="D98" s="38" t="s">
        <v>9</v>
      </c>
      <c r="E98" s="38" t="s">
        <v>10</v>
      </c>
      <c r="F98" s="38">
        <v>33</v>
      </c>
      <c r="G98" s="38">
        <v>18</v>
      </c>
      <c r="H98" s="38">
        <v>7</v>
      </c>
      <c r="I98" s="38" t="s">
        <v>102</v>
      </c>
      <c r="J98" s="10" t="s">
        <v>14</v>
      </c>
      <c r="K98" s="10" t="s">
        <v>15</v>
      </c>
      <c r="L98" s="42"/>
      <c r="M98" s="38" t="str">
        <f>HYPERLINK("http://www.stromypodkontrolou.cz/map/tree/eb9fcfc1-f6fa-405f-85c7-690b2fb79ecd/3c9eda31-95a3-4a06-806d-6fdc2d0173c9")</f>
        <v>http://www.stromypodkontrolou.cz/map/tree/eb9fcfc1-f6fa-405f-85c7-690b2fb79ecd/3c9eda31-95a3-4a06-806d-6fdc2d0173c9</v>
      </c>
      <c r="N98" s="53"/>
    </row>
    <row r="99" spans="1:207" s="15" customFormat="1" ht="12.75">
      <c r="A99" s="12">
        <v>95</v>
      </c>
      <c r="B99" s="46" t="s">
        <v>101</v>
      </c>
      <c r="C99" s="47">
        <v>22</v>
      </c>
      <c r="D99" s="46" t="s">
        <v>64</v>
      </c>
      <c r="E99" s="46" t="s">
        <v>65</v>
      </c>
      <c r="F99" s="46">
        <v>22</v>
      </c>
      <c r="G99" s="46">
        <v>16</v>
      </c>
      <c r="H99" s="46">
        <v>5</v>
      </c>
      <c r="I99" s="46" t="s">
        <v>102</v>
      </c>
      <c r="J99" s="16" t="s">
        <v>14</v>
      </c>
      <c r="K99" s="16" t="s">
        <v>15</v>
      </c>
      <c r="L99" s="16"/>
      <c r="M99" s="46" t="str">
        <f>HYPERLINK("http://www.stromypodkontrolou.cz/map/tree/eb9fcfc1-f6fa-405f-85c7-690b2fb79ecd/fe9ebe72-afed-4eb1-816d-5f1538cdd94c")</f>
        <v>http://www.stromypodkontrolou.cz/map/tree/eb9fcfc1-f6fa-405f-85c7-690b2fb79ecd/fe9ebe72-afed-4eb1-816d-5f1538cdd94c</v>
      </c>
      <c r="N99" s="5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</row>
    <row r="100" spans="1:207" s="15" customFormat="1" ht="25.5" customHeight="1">
      <c r="A100" s="12">
        <v>96</v>
      </c>
      <c r="B100" s="46" t="s">
        <v>101</v>
      </c>
      <c r="C100" s="47">
        <v>22</v>
      </c>
      <c r="D100" s="46" t="s">
        <v>64</v>
      </c>
      <c r="E100" s="46" t="s">
        <v>65</v>
      </c>
      <c r="F100" s="46">
        <v>22</v>
      </c>
      <c r="G100" s="46">
        <v>16</v>
      </c>
      <c r="H100" s="46">
        <v>5</v>
      </c>
      <c r="I100" s="46" t="s">
        <v>102</v>
      </c>
      <c r="J100" s="16" t="s">
        <v>12</v>
      </c>
      <c r="K100" s="16" t="s">
        <v>13</v>
      </c>
      <c r="L100" s="16" t="s">
        <v>17</v>
      </c>
      <c r="M100" s="46" t="str">
        <f>HYPERLINK("http://www.stromypodkontrolou.cz/map/tree/eb9fcfc1-f6fa-405f-85c7-690b2fb79ecd/fe9ebe72-afed-4eb1-816d-5f1538cdd94c")</f>
        <v>http://www.stromypodkontrolou.cz/map/tree/eb9fcfc1-f6fa-405f-85c7-690b2fb79ecd/fe9ebe72-afed-4eb1-816d-5f1538cdd94c</v>
      </c>
      <c r="N100" s="5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</row>
    <row r="101" spans="1:14" s="3" customFormat="1" ht="25.5" customHeight="1">
      <c r="A101" s="9">
        <v>97</v>
      </c>
      <c r="B101" s="38" t="s">
        <v>101</v>
      </c>
      <c r="C101" s="41">
        <v>67</v>
      </c>
      <c r="D101" s="38" t="s">
        <v>37</v>
      </c>
      <c r="E101" s="38" t="s">
        <v>38</v>
      </c>
      <c r="F101" s="38">
        <v>32</v>
      </c>
      <c r="G101" s="38">
        <v>16</v>
      </c>
      <c r="H101" s="38">
        <v>10</v>
      </c>
      <c r="I101" s="38" t="s">
        <v>103</v>
      </c>
      <c r="J101" s="10" t="s">
        <v>12</v>
      </c>
      <c r="K101" s="10" t="s">
        <v>13</v>
      </c>
      <c r="L101" s="10" t="s">
        <v>17</v>
      </c>
      <c r="M101" s="38" t="str">
        <f>HYPERLINK("http://www.stromypodkontrolou.cz/map/tree/eb9fcfc1-f6fa-405f-85c7-690b2fb79ecd/b6f8ee83-faa7-48c1-afc2-2fb2411eb796")</f>
        <v>http://www.stromypodkontrolou.cz/map/tree/eb9fcfc1-f6fa-405f-85c7-690b2fb79ecd/b6f8ee83-faa7-48c1-afc2-2fb2411eb796</v>
      </c>
      <c r="N101" s="53"/>
    </row>
    <row r="102" spans="1:14" s="3" customFormat="1" ht="12.75">
      <c r="A102" s="9">
        <v>98</v>
      </c>
      <c r="B102" s="38" t="s">
        <v>101</v>
      </c>
      <c r="C102" s="41">
        <v>67</v>
      </c>
      <c r="D102" s="38" t="s">
        <v>37</v>
      </c>
      <c r="E102" s="38" t="s">
        <v>38</v>
      </c>
      <c r="F102" s="38">
        <v>32</v>
      </c>
      <c r="G102" s="38">
        <v>16</v>
      </c>
      <c r="H102" s="38">
        <v>10</v>
      </c>
      <c r="I102" s="38" t="s">
        <v>103</v>
      </c>
      <c r="J102" s="10" t="s">
        <v>14</v>
      </c>
      <c r="K102" s="10" t="s">
        <v>15</v>
      </c>
      <c r="L102" s="10"/>
      <c r="M102" s="38" t="str">
        <f>HYPERLINK("http://www.stromypodkontrolou.cz/map/tree/eb9fcfc1-f6fa-405f-85c7-690b2fb79ecd/b6f8ee83-faa7-48c1-afc2-2fb2411eb796")</f>
        <v>http://www.stromypodkontrolou.cz/map/tree/eb9fcfc1-f6fa-405f-85c7-690b2fb79ecd/b6f8ee83-faa7-48c1-afc2-2fb2411eb796</v>
      </c>
      <c r="N102" s="53"/>
    </row>
    <row r="103" spans="1:207" s="15" customFormat="1" ht="12.75">
      <c r="A103" s="12">
        <v>99</v>
      </c>
      <c r="B103" s="46" t="s">
        <v>104</v>
      </c>
      <c r="C103" s="47">
        <v>2</v>
      </c>
      <c r="D103" s="46" t="s">
        <v>9</v>
      </c>
      <c r="E103" s="46" t="s">
        <v>10</v>
      </c>
      <c r="F103" s="46">
        <v>48</v>
      </c>
      <c r="G103" s="46">
        <v>17</v>
      </c>
      <c r="H103" s="46">
        <v>9</v>
      </c>
      <c r="I103" s="46"/>
      <c r="J103" s="16" t="s">
        <v>14</v>
      </c>
      <c r="K103" s="16" t="s">
        <v>15</v>
      </c>
      <c r="L103" s="43"/>
      <c r="M103" s="46" t="str">
        <f>HYPERLINK("http://www.stromypodkontrolou.cz/map/tree/eb9fcfc1-f6fa-405f-85c7-690b2fb79ecd/7a418651-567d-4c47-b7ed-ccc0fdbdc6b1")</f>
        <v>http://www.stromypodkontrolou.cz/map/tree/eb9fcfc1-f6fa-405f-85c7-690b2fb79ecd/7a418651-567d-4c47-b7ed-ccc0fdbdc6b1</v>
      </c>
      <c r="N103" s="5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</row>
    <row r="104" spans="1:207" s="15" customFormat="1" ht="22.5">
      <c r="A104" s="12">
        <v>100</v>
      </c>
      <c r="B104" s="46" t="s">
        <v>104</v>
      </c>
      <c r="C104" s="47">
        <v>2</v>
      </c>
      <c r="D104" s="46" t="s">
        <v>9</v>
      </c>
      <c r="E104" s="46" t="s">
        <v>10</v>
      </c>
      <c r="F104" s="46">
        <v>48</v>
      </c>
      <c r="G104" s="46">
        <v>17</v>
      </c>
      <c r="H104" s="46">
        <v>9</v>
      </c>
      <c r="I104" s="46"/>
      <c r="J104" s="16" t="s">
        <v>19</v>
      </c>
      <c r="K104" s="16" t="s">
        <v>20</v>
      </c>
      <c r="L104" s="43"/>
      <c r="M104" s="46" t="str">
        <f>HYPERLINK("http://www.stromypodkontrolou.cz/map/tree/eb9fcfc1-f6fa-405f-85c7-690b2fb79ecd/7a418651-567d-4c47-b7ed-ccc0fdbdc6b1")</f>
        <v>http://www.stromypodkontrolou.cz/map/tree/eb9fcfc1-f6fa-405f-85c7-690b2fb79ecd/7a418651-567d-4c47-b7ed-ccc0fdbdc6b1</v>
      </c>
      <c r="N104" s="5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</row>
    <row r="105" spans="1:207" s="15" customFormat="1" ht="14.25" customHeight="1">
      <c r="A105" s="12">
        <v>101</v>
      </c>
      <c r="B105" s="46"/>
      <c r="C105" s="47"/>
      <c r="D105" s="46"/>
      <c r="E105" s="46"/>
      <c r="F105" s="46"/>
      <c r="G105" s="46"/>
      <c r="H105" s="46"/>
      <c r="I105" s="46"/>
      <c r="J105" s="16" t="s">
        <v>280</v>
      </c>
      <c r="K105" s="16" t="s">
        <v>281</v>
      </c>
      <c r="L105" s="43"/>
      <c r="M105" s="46"/>
      <c r="N105" s="5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</row>
    <row r="106" spans="1:14" s="3" customFormat="1" ht="25.5" customHeight="1">
      <c r="A106" s="9">
        <v>102</v>
      </c>
      <c r="B106" s="10" t="s">
        <v>104</v>
      </c>
      <c r="C106" s="11">
        <v>65</v>
      </c>
      <c r="D106" s="10" t="s">
        <v>9</v>
      </c>
      <c r="E106" s="10" t="s">
        <v>10</v>
      </c>
      <c r="F106" s="10">
        <v>13</v>
      </c>
      <c r="G106" s="10">
        <v>6</v>
      </c>
      <c r="H106" s="10">
        <v>2</v>
      </c>
      <c r="I106" s="10"/>
      <c r="J106" s="10" t="s">
        <v>14</v>
      </c>
      <c r="K106" s="10" t="s">
        <v>15</v>
      </c>
      <c r="L106" s="10"/>
      <c r="M106" s="10" t="str">
        <f>HYPERLINK("http://www.stromypodkontrolou.cz/map/tree/eb9fcfc1-f6fa-405f-85c7-690b2fb79ecd/bcee3336-a4a8-4234-afec-b930ce0e56db")</f>
        <v>http://www.stromypodkontrolou.cz/map/tree/eb9fcfc1-f6fa-405f-85c7-690b2fb79ecd/bcee3336-a4a8-4234-afec-b930ce0e56db</v>
      </c>
      <c r="N106" s="53"/>
    </row>
    <row r="107" spans="1:207" s="15" customFormat="1" ht="25.5" customHeight="1">
      <c r="A107" s="12">
        <v>103</v>
      </c>
      <c r="B107" s="46" t="s">
        <v>104</v>
      </c>
      <c r="C107" s="47">
        <v>116</v>
      </c>
      <c r="D107" s="46" t="s">
        <v>9</v>
      </c>
      <c r="E107" s="46" t="s">
        <v>10</v>
      </c>
      <c r="F107" s="46">
        <v>38</v>
      </c>
      <c r="G107" s="46">
        <v>16</v>
      </c>
      <c r="H107" s="46">
        <v>6</v>
      </c>
      <c r="I107" s="46" t="s">
        <v>105</v>
      </c>
      <c r="J107" s="16" t="s">
        <v>12</v>
      </c>
      <c r="K107" s="16" t="s">
        <v>13</v>
      </c>
      <c r="L107" s="16" t="s">
        <v>17</v>
      </c>
      <c r="M107" s="46" t="str">
        <f>HYPERLINK("http://www.stromypodkontrolou.cz/map/tree/eb9fcfc1-f6fa-405f-85c7-690b2fb79ecd/f1b07d76-d57d-4526-956d-1af2f8187211")</f>
        <v>http://www.stromypodkontrolou.cz/map/tree/eb9fcfc1-f6fa-405f-85c7-690b2fb79ecd/f1b07d76-d57d-4526-956d-1af2f8187211</v>
      </c>
      <c r="N107" s="5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</row>
    <row r="108" spans="1:207" s="15" customFormat="1" ht="12.75">
      <c r="A108" s="12">
        <v>104</v>
      </c>
      <c r="B108" s="46" t="s">
        <v>104</v>
      </c>
      <c r="C108" s="47">
        <v>116</v>
      </c>
      <c r="D108" s="46" t="s">
        <v>9</v>
      </c>
      <c r="E108" s="46" t="s">
        <v>10</v>
      </c>
      <c r="F108" s="46">
        <v>38</v>
      </c>
      <c r="G108" s="46">
        <v>16</v>
      </c>
      <c r="H108" s="46">
        <v>6</v>
      </c>
      <c r="I108" s="46" t="s">
        <v>105</v>
      </c>
      <c r="J108" s="16" t="s">
        <v>14</v>
      </c>
      <c r="K108" s="16" t="s">
        <v>15</v>
      </c>
      <c r="L108" s="16"/>
      <c r="M108" s="46" t="str">
        <f>HYPERLINK("http://www.stromypodkontrolou.cz/map/tree/eb9fcfc1-f6fa-405f-85c7-690b2fb79ecd/f1b07d76-d57d-4526-956d-1af2f8187211")</f>
        <v>http://www.stromypodkontrolou.cz/map/tree/eb9fcfc1-f6fa-405f-85c7-690b2fb79ecd/f1b07d76-d57d-4526-956d-1af2f8187211</v>
      </c>
      <c r="N108" s="5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</row>
    <row r="109" spans="1:14" s="3" customFormat="1" ht="51" customHeight="1">
      <c r="A109" s="9">
        <v>105</v>
      </c>
      <c r="B109" s="10" t="s">
        <v>106</v>
      </c>
      <c r="C109" s="11">
        <v>50</v>
      </c>
      <c r="D109" s="10" t="s">
        <v>107</v>
      </c>
      <c r="E109" s="10" t="s">
        <v>108</v>
      </c>
      <c r="F109" s="10">
        <v>28</v>
      </c>
      <c r="G109" s="10">
        <v>13</v>
      </c>
      <c r="H109" s="10">
        <v>7</v>
      </c>
      <c r="I109" s="10" t="s">
        <v>109</v>
      </c>
      <c r="J109" s="10" t="s">
        <v>14</v>
      </c>
      <c r="K109" s="10" t="s">
        <v>15</v>
      </c>
      <c r="L109" s="10"/>
      <c r="M109" s="10" t="str">
        <f>HYPERLINK("http://www.stromypodkontrolou.cz/map/tree/eb9fcfc1-f6fa-405f-85c7-690b2fb79ecd/3804c5ea-ef3f-4ba0-ba9b-9db9636e634f")</f>
        <v>http://www.stromypodkontrolou.cz/map/tree/eb9fcfc1-f6fa-405f-85c7-690b2fb79ecd/3804c5ea-ef3f-4ba0-ba9b-9db9636e634f</v>
      </c>
      <c r="N109" s="53"/>
    </row>
    <row r="110" spans="1:207" s="15" customFormat="1" ht="12.75">
      <c r="A110" s="12">
        <v>106</v>
      </c>
      <c r="B110" s="46" t="s">
        <v>106</v>
      </c>
      <c r="C110" s="47">
        <v>53</v>
      </c>
      <c r="D110" s="46" t="s">
        <v>31</v>
      </c>
      <c r="E110" s="46" t="s">
        <v>32</v>
      </c>
      <c r="F110" s="46">
        <v>45</v>
      </c>
      <c r="G110" s="46">
        <v>15</v>
      </c>
      <c r="H110" s="46">
        <v>9</v>
      </c>
      <c r="I110" s="46" t="s">
        <v>110</v>
      </c>
      <c r="J110" s="16" t="s">
        <v>97</v>
      </c>
      <c r="K110" s="16" t="s">
        <v>98</v>
      </c>
      <c r="L110" s="16"/>
      <c r="M110" s="46" t="str">
        <f>HYPERLINK("http://www.stromypodkontrolou.cz/map/tree/eb9fcfc1-f6fa-405f-85c7-690b2fb79ecd/c5501f52-5aef-4af7-a758-3fb7c420cb9f")</f>
        <v>http://www.stromypodkontrolou.cz/map/tree/eb9fcfc1-f6fa-405f-85c7-690b2fb79ecd/c5501f52-5aef-4af7-a758-3fb7c420cb9f</v>
      </c>
      <c r="N110" s="5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</row>
    <row r="111" spans="1:207" s="15" customFormat="1" ht="22.5">
      <c r="A111" s="12">
        <v>107</v>
      </c>
      <c r="B111" s="46" t="s">
        <v>106</v>
      </c>
      <c r="C111" s="47">
        <v>53</v>
      </c>
      <c r="D111" s="46" t="s">
        <v>31</v>
      </c>
      <c r="E111" s="46" t="s">
        <v>32</v>
      </c>
      <c r="F111" s="46">
        <v>45</v>
      </c>
      <c r="G111" s="46">
        <v>15</v>
      </c>
      <c r="H111" s="46">
        <v>9</v>
      </c>
      <c r="I111" s="46" t="s">
        <v>110</v>
      </c>
      <c r="J111" s="16" t="s">
        <v>25</v>
      </c>
      <c r="K111" s="16" t="s">
        <v>26</v>
      </c>
      <c r="L111" s="16" t="s">
        <v>111</v>
      </c>
      <c r="M111" s="46" t="str">
        <f>HYPERLINK("http://www.stromypodkontrolou.cz/map/tree/eb9fcfc1-f6fa-405f-85c7-690b2fb79ecd/c5501f52-5aef-4af7-a758-3fb7c420cb9f")</f>
        <v>http://www.stromypodkontrolou.cz/map/tree/eb9fcfc1-f6fa-405f-85c7-690b2fb79ecd/c5501f52-5aef-4af7-a758-3fb7c420cb9f</v>
      </c>
      <c r="N111" s="5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</row>
    <row r="112" spans="1:14" s="3" customFormat="1" ht="51" customHeight="1">
      <c r="A112" s="9">
        <v>108</v>
      </c>
      <c r="B112" s="10" t="s">
        <v>106</v>
      </c>
      <c r="C112" s="11">
        <v>54</v>
      </c>
      <c r="D112" s="10" t="s">
        <v>58</v>
      </c>
      <c r="E112" s="10" t="s">
        <v>59</v>
      </c>
      <c r="F112" s="10">
        <v>53</v>
      </c>
      <c r="G112" s="10">
        <v>16</v>
      </c>
      <c r="H112" s="10">
        <v>8</v>
      </c>
      <c r="I112" s="10" t="s">
        <v>112</v>
      </c>
      <c r="J112" s="10" t="s">
        <v>14</v>
      </c>
      <c r="K112" s="10" t="s">
        <v>15</v>
      </c>
      <c r="L112" s="10"/>
      <c r="M112" s="10" t="str">
        <f>HYPERLINK("http://www.stromypodkontrolou.cz/map/tree/eb9fcfc1-f6fa-405f-85c7-690b2fb79ecd/1346e946-51ec-4ab9-85d9-52abb67ad9d4")</f>
        <v>http://www.stromypodkontrolou.cz/map/tree/eb9fcfc1-f6fa-405f-85c7-690b2fb79ecd/1346e946-51ec-4ab9-85d9-52abb67ad9d4</v>
      </c>
      <c r="N112" s="53"/>
    </row>
    <row r="113" spans="1:207" s="15" customFormat="1" ht="22.5">
      <c r="A113" s="12">
        <v>109</v>
      </c>
      <c r="B113" s="46" t="s">
        <v>113</v>
      </c>
      <c r="C113" s="47">
        <v>30</v>
      </c>
      <c r="D113" s="46" t="s">
        <v>47</v>
      </c>
      <c r="E113" s="46" t="s">
        <v>48</v>
      </c>
      <c r="F113" s="46">
        <v>62</v>
      </c>
      <c r="G113" s="46">
        <v>18</v>
      </c>
      <c r="H113" s="46">
        <v>10</v>
      </c>
      <c r="I113" s="46"/>
      <c r="J113" s="16" t="s">
        <v>19</v>
      </c>
      <c r="K113" s="16" t="s">
        <v>20</v>
      </c>
      <c r="L113" s="16"/>
      <c r="M113" s="46" t="str">
        <f>HYPERLINK("http://www.stromypodkontrolou.cz/map/tree/eb9fcfc1-f6fa-405f-85c7-690b2fb79ecd/4137631e-1e7f-4139-b825-13d73076db31")</f>
        <v>http://www.stromypodkontrolou.cz/map/tree/eb9fcfc1-f6fa-405f-85c7-690b2fb79ecd/4137631e-1e7f-4139-b825-13d73076db31</v>
      </c>
      <c r="N113" s="5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</row>
    <row r="114" spans="1:207" s="15" customFormat="1" ht="22.5">
      <c r="A114" s="12">
        <v>110</v>
      </c>
      <c r="B114" s="46" t="s">
        <v>113</v>
      </c>
      <c r="C114" s="47"/>
      <c r="D114" s="46" t="s">
        <v>47</v>
      </c>
      <c r="E114" s="46" t="s">
        <v>48</v>
      </c>
      <c r="F114" s="46">
        <v>62</v>
      </c>
      <c r="G114" s="46">
        <v>18</v>
      </c>
      <c r="H114" s="46">
        <v>10</v>
      </c>
      <c r="I114" s="46"/>
      <c r="J114" s="16" t="s">
        <v>12</v>
      </c>
      <c r="K114" s="16" t="s">
        <v>13</v>
      </c>
      <c r="L114" s="16" t="s">
        <v>22</v>
      </c>
      <c r="M114" s="46" t="str">
        <f>HYPERLINK("http://www.stromypodkontrolou.cz/map/tree/eb9fcfc1-f6fa-405f-85c7-690b2fb79ecd/4137631e-1e7f-4139-b825-13d73076db31")</f>
        <v>http://www.stromypodkontrolou.cz/map/tree/eb9fcfc1-f6fa-405f-85c7-690b2fb79ecd/4137631e-1e7f-4139-b825-13d73076db31</v>
      </c>
      <c r="N114" s="5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</row>
    <row r="115" spans="1:207" s="15" customFormat="1" ht="12.75">
      <c r="A115" s="12">
        <v>111</v>
      </c>
      <c r="B115" s="46" t="s">
        <v>113</v>
      </c>
      <c r="C115" s="47"/>
      <c r="D115" s="46" t="s">
        <v>47</v>
      </c>
      <c r="E115" s="46" t="s">
        <v>48</v>
      </c>
      <c r="F115" s="46">
        <v>62</v>
      </c>
      <c r="G115" s="46">
        <v>18</v>
      </c>
      <c r="H115" s="46">
        <v>10</v>
      </c>
      <c r="I115" s="46"/>
      <c r="J115" s="16" t="s">
        <v>14</v>
      </c>
      <c r="K115" s="16" t="s">
        <v>15</v>
      </c>
      <c r="L115" s="43"/>
      <c r="M115" s="46" t="str">
        <f>HYPERLINK("http://www.stromypodkontrolou.cz/map/tree/eb9fcfc1-f6fa-405f-85c7-690b2fb79ecd/4137631e-1e7f-4139-b825-13d73076db31")</f>
        <v>http://www.stromypodkontrolou.cz/map/tree/eb9fcfc1-f6fa-405f-85c7-690b2fb79ecd/4137631e-1e7f-4139-b825-13d73076db31</v>
      </c>
      <c r="N115" s="5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</row>
    <row r="116" spans="1:207" s="15" customFormat="1" ht="22.5">
      <c r="A116" s="12">
        <v>112</v>
      </c>
      <c r="B116" s="46" t="s">
        <v>113</v>
      </c>
      <c r="C116" s="47"/>
      <c r="D116" s="46" t="s">
        <v>47</v>
      </c>
      <c r="E116" s="46" t="s">
        <v>48</v>
      </c>
      <c r="F116" s="46">
        <v>62</v>
      </c>
      <c r="G116" s="46">
        <v>18</v>
      </c>
      <c r="H116" s="46">
        <v>10</v>
      </c>
      <c r="I116" s="46"/>
      <c r="J116" s="16" t="s">
        <v>25</v>
      </c>
      <c r="K116" s="16" t="s">
        <v>26</v>
      </c>
      <c r="L116" s="43"/>
      <c r="M116" s="46" t="str">
        <f>HYPERLINK("http://www.stromypodkontrolou.cz/map/tree/eb9fcfc1-f6fa-405f-85c7-690b2fb79ecd/4137631e-1e7f-4139-b825-13d73076db31")</f>
        <v>http://www.stromypodkontrolou.cz/map/tree/eb9fcfc1-f6fa-405f-85c7-690b2fb79ecd/4137631e-1e7f-4139-b825-13d73076db31</v>
      </c>
      <c r="N116" s="5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</row>
    <row r="117" spans="1:14" s="3" customFormat="1" ht="12.75">
      <c r="A117" s="9">
        <v>113</v>
      </c>
      <c r="B117" s="38" t="s">
        <v>113</v>
      </c>
      <c r="C117" s="41">
        <v>54</v>
      </c>
      <c r="D117" s="38" t="s">
        <v>9</v>
      </c>
      <c r="E117" s="38" t="s">
        <v>10</v>
      </c>
      <c r="F117" s="38">
        <v>31</v>
      </c>
      <c r="G117" s="38">
        <v>13</v>
      </c>
      <c r="H117" s="38">
        <v>12</v>
      </c>
      <c r="I117" s="38" t="s">
        <v>114</v>
      </c>
      <c r="J117" s="10" t="s">
        <v>14</v>
      </c>
      <c r="K117" s="10" t="s">
        <v>15</v>
      </c>
      <c r="L117" s="42"/>
      <c r="M117" s="38" t="str">
        <f>HYPERLINK("http://www.stromypodkontrolou.cz/map/tree/eb9fcfc1-f6fa-405f-85c7-690b2fb79ecd/649112a8-8dfa-4f5f-844a-8a63f2c2d440")</f>
        <v>http://www.stromypodkontrolou.cz/map/tree/eb9fcfc1-f6fa-405f-85c7-690b2fb79ecd/649112a8-8dfa-4f5f-844a-8a63f2c2d440</v>
      </c>
      <c r="N117" s="53"/>
    </row>
    <row r="118" spans="1:14" s="3" customFormat="1" ht="22.5">
      <c r="A118" s="9">
        <v>114</v>
      </c>
      <c r="B118" s="38" t="s">
        <v>113</v>
      </c>
      <c r="C118" s="41">
        <v>54</v>
      </c>
      <c r="D118" s="38" t="s">
        <v>9</v>
      </c>
      <c r="E118" s="38" t="s">
        <v>10</v>
      </c>
      <c r="F118" s="38">
        <v>31</v>
      </c>
      <c r="G118" s="38">
        <v>13</v>
      </c>
      <c r="H118" s="38">
        <v>12</v>
      </c>
      <c r="I118" s="38" t="s">
        <v>114</v>
      </c>
      <c r="J118" s="10" t="s">
        <v>12</v>
      </c>
      <c r="K118" s="10" t="s">
        <v>13</v>
      </c>
      <c r="L118" s="42"/>
      <c r="M118" s="38" t="str">
        <f>HYPERLINK("http://www.stromypodkontrolou.cz/map/tree/eb9fcfc1-f6fa-405f-85c7-690b2fb79ecd/649112a8-8dfa-4f5f-844a-8a63f2c2d440")</f>
        <v>http://www.stromypodkontrolou.cz/map/tree/eb9fcfc1-f6fa-405f-85c7-690b2fb79ecd/649112a8-8dfa-4f5f-844a-8a63f2c2d440</v>
      </c>
      <c r="N118" s="53"/>
    </row>
    <row r="119" spans="1:207" s="15" customFormat="1" ht="12.75">
      <c r="A119" s="12">
        <v>115</v>
      </c>
      <c r="B119" s="46" t="s">
        <v>113</v>
      </c>
      <c r="C119" s="47">
        <v>57</v>
      </c>
      <c r="D119" s="46" t="s">
        <v>9</v>
      </c>
      <c r="E119" s="46" t="s">
        <v>10</v>
      </c>
      <c r="F119" s="46">
        <v>22</v>
      </c>
      <c r="G119" s="46">
        <v>13</v>
      </c>
      <c r="H119" s="46">
        <v>8</v>
      </c>
      <c r="I119" s="46" t="s">
        <v>272</v>
      </c>
      <c r="J119" s="16" t="s">
        <v>14</v>
      </c>
      <c r="K119" s="16" t="s">
        <v>15</v>
      </c>
      <c r="L119" s="43"/>
      <c r="M119" s="46" t="s">
        <v>273</v>
      </c>
      <c r="N119" s="5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</row>
    <row r="120" spans="1:207" s="15" customFormat="1" ht="22.5">
      <c r="A120" s="12">
        <v>116</v>
      </c>
      <c r="B120" s="46" t="s">
        <v>113</v>
      </c>
      <c r="C120" s="47">
        <v>54</v>
      </c>
      <c r="D120" s="46" t="s">
        <v>9</v>
      </c>
      <c r="E120" s="46" t="s">
        <v>10</v>
      </c>
      <c r="F120" s="46"/>
      <c r="G120" s="46"/>
      <c r="H120" s="46"/>
      <c r="I120" s="46"/>
      <c r="J120" s="16" t="s">
        <v>19</v>
      </c>
      <c r="K120" s="16" t="s">
        <v>20</v>
      </c>
      <c r="L120" s="43"/>
      <c r="M120" s="46"/>
      <c r="N120" s="5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</row>
    <row r="121" spans="1:14" s="3" customFormat="1" ht="12.75">
      <c r="A121" s="9">
        <v>117</v>
      </c>
      <c r="B121" s="38" t="s">
        <v>117</v>
      </c>
      <c r="C121" s="41">
        <v>5</v>
      </c>
      <c r="D121" s="38" t="s">
        <v>47</v>
      </c>
      <c r="E121" s="38" t="s">
        <v>48</v>
      </c>
      <c r="F121" s="38">
        <v>71</v>
      </c>
      <c r="G121" s="38">
        <v>16</v>
      </c>
      <c r="H121" s="38">
        <v>12</v>
      </c>
      <c r="I121" s="38"/>
      <c r="J121" s="10" t="s">
        <v>14</v>
      </c>
      <c r="K121" s="10" t="s">
        <v>15</v>
      </c>
      <c r="L121" s="10"/>
      <c r="M121" s="38" t="str">
        <f>HYPERLINK("http://www.stromypodkontrolou.cz/map/tree/eb9fcfc1-f6fa-405f-85c7-690b2fb79ecd/3aa06cba-04a2-4b01-9064-6ab4e7aac67b")</f>
        <v>http://www.stromypodkontrolou.cz/map/tree/eb9fcfc1-f6fa-405f-85c7-690b2fb79ecd/3aa06cba-04a2-4b01-9064-6ab4e7aac67b</v>
      </c>
      <c r="N121" s="53"/>
    </row>
    <row r="122" spans="1:14" s="3" customFormat="1" ht="33.75">
      <c r="A122" s="9">
        <v>118</v>
      </c>
      <c r="B122" s="38" t="s">
        <v>117</v>
      </c>
      <c r="C122" s="41">
        <v>5</v>
      </c>
      <c r="D122" s="38" t="s">
        <v>47</v>
      </c>
      <c r="E122" s="38" t="s">
        <v>48</v>
      </c>
      <c r="F122" s="38">
        <v>71</v>
      </c>
      <c r="G122" s="38">
        <v>16</v>
      </c>
      <c r="H122" s="38">
        <v>12</v>
      </c>
      <c r="I122" s="38"/>
      <c r="J122" s="10" t="s">
        <v>12</v>
      </c>
      <c r="K122" s="10" t="s">
        <v>13</v>
      </c>
      <c r="L122" s="10" t="s">
        <v>68</v>
      </c>
      <c r="M122" s="38" t="str">
        <f>HYPERLINK("http://www.stromypodkontrolou.cz/map/tree/eb9fcfc1-f6fa-405f-85c7-690b2fb79ecd/3aa06cba-04a2-4b01-9064-6ab4e7aac67b")</f>
        <v>http://www.stromypodkontrolou.cz/map/tree/eb9fcfc1-f6fa-405f-85c7-690b2fb79ecd/3aa06cba-04a2-4b01-9064-6ab4e7aac67b</v>
      </c>
      <c r="N122" s="53"/>
    </row>
    <row r="123" spans="1:207" s="15" customFormat="1" ht="25.5" customHeight="1">
      <c r="A123" s="12">
        <v>119</v>
      </c>
      <c r="B123" s="46" t="s">
        <v>118</v>
      </c>
      <c r="C123" s="47">
        <v>12</v>
      </c>
      <c r="D123" s="46" t="s">
        <v>9</v>
      </c>
      <c r="E123" s="46" t="s">
        <v>10</v>
      </c>
      <c r="F123" s="46">
        <v>38</v>
      </c>
      <c r="G123" s="46">
        <v>15</v>
      </c>
      <c r="H123" s="46">
        <v>11</v>
      </c>
      <c r="I123" s="46" t="s">
        <v>23</v>
      </c>
      <c r="J123" s="16" t="s">
        <v>14</v>
      </c>
      <c r="K123" s="16" t="s">
        <v>15</v>
      </c>
      <c r="L123" s="16" t="s">
        <v>17</v>
      </c>
      <c r="M123" s="46" t="str">
        <f>HYPERLINK("http://www.stromypodkontrolou.cz/map/tree/eb9fcfc1-f6fa-405f-85c7-690b2fb79ecd/c040adb2-3913-47ac-8323-d3d5c5926961")</f>
        <v>http://www.stromypodkontrolou.cz/map/tree/eb9fcfc1-f6fa-405f-85c7-690b2fb79ecd/c040adb2-3913-47ac-8323-d3d5c5926961</v>
      </c>
      <c r="N123" s="5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</row>
    <row r="124" spans="1:207" s="15" customFormat="1" ht="22.5">
      <c r="A124" s="12">
        <v>120</v>
      </c>
      <c r="B124" s="46" t="s">
        <v>118</v>
      </c>
      <c r="C124" s="47">
        <v>12</v>
      </c>
      <c r="D124" s="46" t="s">
        <v>9</v>
      </c>
      <c r="E124" s="46" t="s">
        <v>10</v>
      </c>
      <c r="F124" s="46">
        <v>38</v>
      </c>
      <c r="G124" s="46">
        <v>15</v>
      </c>
      <c r="H124" s="46">
        <v>11</v>
      </c>
      <c r="I124" s="46" t="s">
        <v>23</v>
      </c>
      <c r="J124" s="16" t="s">
        <v>19</v>
      </c>
      <c r="K124" s="16" t="s">
        <v>20</v>
      </c>
      <c r="L124" s="16"/>
      <c r="M124" s="46" t="str">
        <f>HYPERLINK("http://www.stromypodkontrolou.cz/map/tree/eb9fcfc1-f6fa-405f-85c7-690b2fb79ecd/c040adb2-3913-47ac-8323-d3d5c5926961")</f>
        <v>http://www.stromypodkontrolou.cz/map/tree/eb9fcfc1-f6fa-405f-85c7-690b2fb79ecd/c040adb2-3913-47ac-8323-d3d5c5926961</v>
      </c>
      <c r="N124" s="5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</row>
    <row r="125" spans="1:14" s="3" customFormat="1" ht="45">
      <c r="A125" s="9">
        <v>121</v>
      </c>
      <c r="B125" s="10" t="s">
        <v>121</v>
      </c>
      <c r="C125" s="11">
        <v>1</v>
      </c>
      <c r="D125" s="10" t="s">
        <v>9</v>
      </c>
      <c r="E125" s="10" t="s">
        <v>10</v>
      </c>
      <c r="F125" s="10">
        <v>27</v>
      </c>
      <c r="G125" s="10">
        <v>16</v>
      </c>
      <c r="H125" s="10">
        <v>8</v>
      </c>
      <c r="I125" s="10"/>
      <c r="J125" s="10" t="s">
        <v>14</v>
      </c>
      <c r="K125" s="10" t="s">
        <v>15</v>
      </c>
      <c r="L125" s="10"/>
      <c r="M125" s="10" t="str">
        <f>HYPERLINK("http://www.stromypodkontrolou.cz/map/tree/eb9fcfc1-f6fa-405f-85c7-690b2fb79ecd/07278c15-e6af-4440-9713-be600229ca81")</f>
        <v>http://www.stromypodkontrolou.cz/map/tree/eb9fcfc1-f6fa-405f-85c7-690b2fb79ecd/07278c15-e6af-4440-9713-be600229ca81</v>
      </c>
      <c r="N125" s="53"/>
    </row>
    <row r="126" spans="1:207" s="15" customFormat="1" ht="45">
      <c r="A126" s="12">
        <v>122</v>
      </c>
      <c r="B126" s="16" t="s">
        <v>121</v>
      </c>
      <c r="C126" s="14">
        <v>2</v>
      </c>
      <c r="D126" s="16" t="s">
        <v>9</v>
      </c>
      <c r="E126" s="16" t="s">
        <v>10</v>
      </c>
      <c r="F126" s="16">
        <v>42</v>
      </c>
      <c r="G126" s="16">
        <v>17</v>
      </c>
      <c r="H126" s="16">
        <v>10</v>
      </c>
      <c r="I126" s="16" t="s">
        <v>122</v>
      </c>
      <c r="J126" s="16" t="s">
        <v>14</v>
      </c>
      <c r="K126" s="16" t="s">
        <v>15</v>
      </c>
      <c r="L126" s="16"/>
      <c r="M126" s="16" t="str">
        <f>HYPERLINK("http://www.stromypodkontrolou.cz/map/tree/eb9fcfc1-f6fa-405f-85c7-690b2fb79ecd/92253e6e-8229-487d-8bc3-00f61d9ef401")</f>
        <v>http://www.stromypodkontrolou.cz/map/tree/eb9fcfc1-f6fa-405f-85c7-690b2fb79ecd/92253e6e-8229-487d-8bc3-00f61d9ef401</v>
      </c>
      <c r="N126" s="5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</row>
    <row r="127" spans="1:14" s="3" customFormat="1" ht="12.75">
      <c r="A127" s="9">
        <v>123</v>
      </c>
      <c r="B127" s="38" t="s">
        <v>123</v>
      </c>
      <c r="C127" s="41">
        <v>1</v>
      </c>
      <c r="D127" s="38" t="s">
        <v>124</v>
      </c>
      <c r="E127" s="38" t="s">
        <v>125</v>
      </c>
      <c r="F127" s="38">
        <v>52</v>
      </c>
      <c r="G127" s="38">
        <v>16</v>
      </c>
      <c r="H127" s="38">
        <v>8</v>
      </c>
      <c r="I127" s="38"/>
      <c r="J127" s="10" t="s">
        <v>14</v>
      </c>
      <c r="K127" s="10" t="s">
        <v>15</v>
      </c>
      <c r="L127" s="42"/>
      <c r="M127" s="38" t="str">
        <f>HYPERLINK("http://www.stromypodkontrolou.cz/map/tree/eb9fcfc1-f6fa-405f-85c7-690b2fb79ecd/03c37512-536a-4012-807d-bcdbaa156d2f")</f>
        <v>http://www.stromypodkontrolou.cz/map/tree/eb9fcfc1-f6fa-405f-85c7-690b2fb79ecd/03c37512-536a-4012-807d-bcdbaa156d2f</v>
      </c>
      <c r="N127" s="53"/>
    </row>
    <row r="128" spans="1:14" s="3" customFormat="1" ht="22.5">
      <c r="A128" s="9">
        <v>124</v>
      </c>
      <c r="B128" s="38" t="s">
        <v>123</v>
      </c>
      <c r="C128" s="41">
        <v>1</v>
      </c>
      <c r="D128" s="38" t="s">
        <v>124</v>
      </c>
      <c r="E128" s="38" t="s">
        <v>125</v>
      </c>
      <c r="F128" s="38">
        <v>52</v>
      </c>
      <c r="G128" s="38">
        <v>16</v>
      </c>
      <c r="H128" s="38">
        <v>8</v>
      </c>
      <c r="I128" s="38"/>
      <c r="J128" s="10" t="s">
        <v>25</v>
      </c>
      <c r="K128" s="10" t="s">
        <v>26</v>
      </c>
      <c r="L128" s="42"/>
      <c r="M128" s="38" t="str">
        <f>HYPERLINK("http://www.stromypodkontrolou.cz/map/tree/eb9fcfc1-f6fa-405f-85c7-690b2fb79ecd/03c37512-536a-4012-807d-bcdbaa156d2f")</f>
        <v>http://www.stromypodkontrolou.cz/map/tree/eb9fcfc1-f6fa-405f-85c7-690b2fb79ecd/03c37512-536a-4012-807d-bcdbaa156d2f</v>
      </c>
      <c r="N128" s="53"/>
    </row>
    <row r="129" spans="1:207" s="15" customFormat="1" ht="25.5" customHeight="1">
      <c r="A129" s="12">
        <v>125</v>
      </c>
      <c r="B129" s="46" t="s">
        <v>123</v>
      </c>
      <c r="C129" s="47">
        <v>2</v>
      </c>
      <c r="D129" s="46" t="s">
        <v>31</v>
      </c>
      <c r="E129" s="46" t="s">
        <v>32</v>
      </c>
      <c r="F129" s="46">
        <v>65</v>
      </c>
      <c r="G129" s="46">
        <v>18</v>
      </c>
      <c r="H129" s="46">
        <v>12</v>
      </c>
      <c r="I129" s="46" t="s">
        <v>126</v>
      </c>
      <c r="J129" s="16" t="s">
        <v>12</v>
      </c>
      <c r="K129" s="16" t="s">
        <v>13</v>
      </c>
      <c r="L129" s="16" t="s">
        <v>17</v>
      </c>
      <c r="M129" s="46" t="str">
        <f>HYPERLINK("http://www.stromypodkontrolou.cz/map/tree/eb9fcfc1-f6fa-405f-85c7-690b2fb79ecd/644b1d09-3148-46be-8df7-a2c4e2e93f4e")</f>
        <v>http://www.stromypodkontrolou.cz/map/tree/eb9fcfc1-f6fa-405f-85c7-690b2fb79ecd/644b1d09-3148-46be-8df7-a2c4e2e93f4e</v>
      </c>
      <c r="N129" s="5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</row>
    <row r="130" spans="1:207" s="15" customFormat="1" ht="12.75">
      <c r="A130" s="12">
        <v>126</v>
      </c>
      <c r="B130" s="46" t="s">
        <v>123</v>
      </c>
      <c r="C130" s="47">
        <v>2</v>
      </c>
      <c r="D130" s="46" t="s">
        <v>31</v>
      </c>
      <c r="E130" s="46" t="s">
        <v>32</v>
      </c>
      <c r="F130" s="46">
        <v>65</v>
      </c>
      <c r="G130" s="46">
        <v>18</v>
      </c>
      <c r="H130" s="46">
        <v>12</v>
      </c>
      <c r="I130" s="46" t="s">
        <v>126</v>
      </c>
      <c r="J130" s="16" t="s">
        <v>14</v>
      </c>
      <c r="K130" s="16" t="s">
        <v>15</v>
      </c>
      <c r="L130" s="16"/>
      <c r="M130" s="46" t="str">
        <f>HYPERLINK("http://www.stromypodkontrolou.cz/map/tree/eb9fcfc1-f6fa-405f-85c7-690b2fb79ecd/644b1d09-3148-46be-8df7-a2c4e2e93f4e")</f>
        <v>http://www.stromypodkontrolou.cz/map/tree/eb9fcfc1-f6fa-405f-85c7-690b2fb79ecd/644b1d09-3148-46be-8df7-a2c4e2e93f4e</v>
      </c>
      <c r="N130" s="5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</row>
    <row r="131" spans="1:14" s="3" customFormat="1" ht="45">
      <c r="A131" s="9">
        <v>127</v>
      </c>
      <c r="B131" s="10" t="s">
        <v>123</v>
      </c>
      <c r="C131" s="11">
        <v>3</v>
      </c>
      <c r="D131" s="10" t="s">
        <v>39</v>
      </c>
      <c r="E131" s="10" t="s">
        <v>40</v>
      </c>
      <c r="F131" s="10">
        <v>31</v>
      </c>
      <c r="G131" s="10">
        <v>18</v>
      </c>
      <c r="H131" s="10">
        <v>6</v>
      </c>
      <c r="I131" s="10" t="s">
        <v>127</v>
      </c>
      <c r="J131" s="10" t="s">
        <v>14</v>
      </c>
      <c r="K131" s="10" t="s">
        <v>15</v>
      </c>
      <c r="L131" s="10"/>
      <c r="M131" s="10" t="str">
        <f>HYPERLINK("http://www.stromypodkontrolou.cz/map/tree/eb9fcfc1-f6fa-405f-85c7-690b2fb79ecd/1145e32c-6f91-4025-8f64-c2a99879edbf")</f>
        <v>http://www.stromypodkontrolou.cz/map/tree/eb9fcfc1-f6fa-405f-85c7-690b2fb79ecd/1145e32c-6f91-4025-8f64-c2a99879edbf</v>
      </c>
      <c r="N131" s="53"/>
    </row>
    <row r="132" spans="1:207" s="15" customFormat="1" ht="45">
      <c r="A132" s="12">
        <v>128</v>
      </c>
      <c r="B132" s="16" t="s">
        <v>123</v>
      </c>
      <c r="C132" s="14">
        <v>4</v>
      </c>
      <c r="D132" s="16" t="s">
        <v>39</v>
      </c>
      <c r="E132" s="16" t="s">
        <v>40</v>
      </c>
      <c r="F132" s="16">
        <v>31</v>
      </c>
      <c r="G132" s="16">
        <v>17</v>
      </c>
      <c r="H132" s="16">
        <v>5</v>
      </c>
      <c r="I132" s="16" t="s">
        <v>91</v>
      </c>
      <c r="J132" s="16" t="s">
        <v>14</v>
      </c>
      <c r="K132" s="16" t="s">
        <v>15</v>
      </c>
      <c r="L132" s="16"/>
      <c r="M132" s="16" t="str">
        <f>HYPERLINK("http://www.stromypodkontrolou.cz/map/tree/eb9fcfc1-f6fa-405f-85c7-690b2fb79ecd/2efc7cc2-117e-4e67-90d5-6caac1c112c3")</f>
        <v>http://www.stromypodkontrolou.cz/map/tree/eb9fcfc1-f6fa-405f-85c7-690b2fb79ecd/2efc7cc2-117e-4e67-90d5-6caac1c112c3</v>
      </c>
      <c r="N132" s="5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</row>
    <row r="133" spans="1:14" s="3" customFormat="1" ht="12.75" customHeight="1">
      <c r="A133" s="9">
        <v>129</v>
      </c>
      <c r="B133" s="10" t="s">
        <v>123</v>
      </c>
      <c r="C133" s="11">
        <v>5</v>
      </c>
      <c r="D133" s="10" t="s">
        <v>39</v>
      </c>
      <c r="E133" s="10" t="s">
        <v>40</v>
      </c>
      <c r="F133" s="10">
        <v>31</v>
      </c>
      <c r="G133" s="10">
        <v>17</v>
      </c>
      <c r="H133" s="10">
        <v>6</v>
      </c>
      <c r="I133" s="10"/>
      <c r="J133" s="10" t="s">
        <v>14</v>
      </c>
      <c r="K133" s="10" t="s">
        <v>15</v>
      </c>
      <c r="L133" s="10"/>
      <c r="M133" s="10" t="str">
        <f>HYPERLINK("http://www.stromypodkontrolou.cz/map/tree/eb9fcfc1-f6fa-405f-85c7-690b2fb79ecd/8fa81340-42e0-4f88-a0b8-2a27dda4e4d2")</f>
        <v>http://www.stromypodkontrolou.cz/map/tree/eb9fcfc1-f6fa-405f-85c7-690b2fb79ecd/8fa81340-42e0-4f88-a0b8-2a27dda4e4d2</v>
      </c>
      <c r="N133" s="53"/>
    </row>
    <row r="134" spans="1:207" s="15" customFormat="1" ht="12.75" customHeight="1">
      <c r="A134" s="12">
        <v>130</v>
      </c>
      <c r="B134" s="16" t="s">
        <v>123</v>
      </c>
      <c r="C134" s="14">
        <v>6</v>
      </c>
      <c r="D134" s="16" t="s">
        <v>39</v>
      </c>
      <c r="E134" s="16" t="s">
        <v>40</v>
      </c>
      <c r="F134" s="16">
        <v>37</v>
      </c>
      <c r="G134" s="16">
        <v>17</v>
      </c>
      <c r="H134" s="16">
        <v>7</v>
      </c>
      <c r="I134" s="16"/>
      <c r="J134" s="16" t="s">
        <v>14</v>
      </c>
      <c r="K134" s="16" t="s">
        <v>15</v>
      </c>
      <c r="L134" s="16"/>
      <c r="M134" s="16" t="str">
        <f>HYPERLINK("http://www.stromypodkontrolou.cz/map/tree/eb9fcfc1-f6fa-405f-85c7-690b2fb79ecd/0b8f8f31-e97f-41cc-a316-dc669a789ba9")</f>
        <v>http://www.stromypodkontrolou.cz/map/tree/eb9fcfc1-f6fa-405f-85c7-690b2fb79ecd/0b8f8f31-e97f-41cc-a316-dc669a789ba9</v>
      </c>
      <c r="N134" s="5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</row>
    <row r="135" spans="1:14" s="3" customFormat="1" ht="12.75">
      <c r="A135" s="9">
        <v>131</v>
      </c>
      <c r="B135" s="38" t="s">
        <v>123</v>
      </c>
      <c r="C135" s="41">
        <v>9</v>
      </c>
      <c r="D135" s="38" t="s">
        <v>39</v>
      </c>
      <c r="E135" s="38" t="s">
        <v>40</v>
      </c>
      <c r="F135" s="38">
        <v>46</v>
      </c>
      <c r="G135" s="38">
        <v>18</v>
      </c>
      <c r="H135" s="38">
        <v>9</v>
      </c>
      <c r="I135" s="38" t="s">
        <v>91</v>
      </c>
      <c r="J135" s="10" t="s">
        <v>14</v>
      </c>
      <c r="K135" s="10" t="s">
        <v>15</v>
      </c>
      <c r="L135" s="10"/>
      <c r="M135" s="38" t="str">
        <f>HYPERLINK("http://www.stromypodkontrolou.cz/map/tree/eb9fcfc1-f6fa-405f-85c7-690b2fb79ecd/46eb8fbb-2aa8-49b5-82d6-c11f5bca1566")</f>
        <v>http://www.stromypodkontrolou.cz/map/tree/eb9fcfc1-f6fa-405f-85c7-690b2fb79ecd/46eb8fbb-2aa8-49b5-82d6-c11f5bca1566</v>
      </c>
      <c r="N135" s="53"/>
    </row>
    <row r="136" spans="1:14" s="3" customFormat="1" ht="22.5">
      <c r="A136" s="9">
        <v>132</v>
      </c>
      <c r="B136" s="38" t="s">
        <v>123</v>
      </c>
      <c r="C136" s="41">
        <v>9</v>
      </c>
      <c r="D136" s="38" t="s">
        <v>39</v>
      </c>
      <c r="E136" s="38" t="s">
        <v>40</v>
      </c>
      <c r="F136" s="38">
        <v>46</v>
      </c>
      <c r="G136" s="38">
        <v>18</v>
      </c>
      <c r="H136" s="38">
        <v>9</v>
      </c>
      <c r="I136" s="38" t="s">
        <v>91</v>
      </c>
      <c r="J136" s="10" t="s">
        <v>12</v>
      </c>
      <c r="K136" s="10" t="s">
        <v>13</v>
      </c>
      <c r="L136" s="10" t="s">
        <v>22</v>
      </c>
      <c r="M136" s="38" t="str">
        <f>HYPERLINK("http://www.stromypodkontrolou.cz/map/tree/eb9fcfc1-f6fa-405f-85c7-690b2fb79ecd/46eb8fbb-2aa8-49b5-82d6-c11f5bca1566")</f>
        <v>http://www.stromypodkontrolou.cz/map/tree/eb9fcfc1-f6fa-405f-85c7-690b2fb79ecd/46eb8fbb-2aa8-49b5-82d6-c11f5bca1566</v>
      </c>
      <c r="N136" s="53"/>
    </row>
    <row r="137" spans="1:207" s="15" customFormat="1" ht="22.5">
      <c r="A137" s="12">
        <v>133</v>
      </c>
      <c r="B137" s="46" t="s">
        <v>123</v>
      </c>
      <c r="C137" s="47">
        <v>18</v>
      </c>
      <c r="D137" s="46" t="s">
        <v>9</v>
      </c>
      <c r="E137" s="46" t="s">
        <v>10</v>
      </c>
      <c r="F137" s="46">
        <v>36</v>
      </c>
      <c r="G137" s="46">
        <v>16</v>
      </c>
      <c r="H137" s="46">
        <v>4</v>
      </c>
      <c r="I137" s="46" t="s">
        <v>11</v>
      </c>
      <c r="J137" s="16" t="s">
        <v>12</v>
      </c>
      <c r="K137" s="16" t="s">
        <v>13</v>
      </c>
      <c r="L137" s="43"/>
      <c r="M137" s="46" t="str">
        <f>HYPERLINK("http://www.stromypodkontrolou.cz/map/tree/eb9fcfc1-f6fa-405f-85c7-690b2fb79ecd/2ce1d43b-7f32-46f7-848f-e9c91ba10b7c")</f>
        <v>http://www.stromypodkontrolou.cz/map/tree/eb9fcfc1-f6fa-405f-85c7-690b2fb79ecd/2ce1d43b-7f32-46f7-848f-e9c91ba10b7c</v>
      </c>
      <c r="N137" s="5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</row>
    <row r="138" spans="1:207" s="15" customFormat="1" ht="12.75">
      <c r="A138" s="12">
        <v>134</v>
      </c>
      <c r="B138" s="46" t="s">
        <v>123</v>
      </c>
      <c r="C138" s="47">
        <v>18</v>
      </c>
      <c r="D138" s="46" t="s">
        <v>9</v>
      </c>
      <c r="E138" s="46" t="s">
        <v>10</v>
      </c>
      <c r="F138" s="46">
        <v>36</v>
      </c>
      <c r="G138" s="46">
        <v>16</v>
      </c>
      <c r="H138" s="46">
        <v>4</v>
      </c>
      <c r="I138" s="46" t="s">
        <v>11</v>
      </c>
      <c r="J138" s="16" t="s">
        <v>14</v>
      </c>
      <c r="K138" s="16" t="s">
        <v>15</v>
      </c>
      <c r="L138" s="43"/>
      <c r="M138" s="46" t="str">
        <f>HYPERLINK("http://www.stromypodkontrolou.cz/map/tree/eb9fcfc1-f6fa-405f-85c7-690b2fb79ecd/2ce1d43b-7f32-46f7-848f-e9c91ba10b7c")</f>
        <v>http://www.stromypodkontrolou.cz/map/tree/eb9fcfc1-f6fa-405f-85c7-690b2fb79ecd/2ce1d43b-7f32-46f7-848f-e9c91ba10b7c</v>
      </c>
      <c r="N138" s="5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</row>
    <row r="139" spans="1:14" s="3" customFormat="1" ht="12.75" customHeight="1">
      <c r="A139" s="9">
        <v>135</v>
      </c>
      <c r="B139" s="10" t="s">
        <v>123</v>
      </c>
      <c r="C139" s="11">
        <v>20</v>
      </c>
      <c r="D139" s="10" t="s">
        <v>39</v>
      </c>
      <c r="E139" s="10" t="s">
        <v>40</v>
      </c>
      <c r="F139" s="10">
        <v>40</v>
      </c>
      <c r="G139" s="10">
        <v>19</v>
      </c>
      <c r="H139" s="10">
        <v>9</v>
      </c>
      <c r="I139" s="10"/>
      <c r="J139" s="10" t="s">
        <v>14</v>
      </c>
      <c r="K139" s="10" t="s">
        <v>15</v>
      </c>
      <c r="L139" s="10"/>
      <c r="M139" s="10" t="str">
        <f>HYPERLINK("http://www.stromypodkontrolou.cz/map/tree/eb9fcfc1-f6fa-405f-85c7-690b2fb79ecd/a05bbca1-1c74-40c4-820c-9d56666d37b3")</f>
        <v>http://www.stromypodkontrolou.cz/map/tree/eb9fcfc1-f6fa-405f-85c7-690b2fb79ecd/a05bbca1-1c74-40c4-820c-9d56666d37b3</v>
      </c>
      <c r="N139" s="53"/>
    </row>
    <row r="140" spans="1:207" s="15" customFormat="1" ht="12.75" customHeight="1">
      <c r="A140" s="12">
        <v>136</v>
      </c>
      <c r="B140" s="16" t="s">
        <v>123</v>
      </c>
      <c r="C140" s="14">
        <v>21</v>
      </c>
      <c r="D140" s="16" t="s">
        <v>39</v>
      </c>
      <c r="E140" s="16" t="s">
        <v>40</v>
      </c>
      <c r="F140" s="16">
        <v>41</v>
      </c>
      <c r="G140" s="16">
        <v>21</v>
      </c>
      <c r="H140" s="16">
        <v>9</v>
      </c>
      <c r="I140" s="16"/>
      <c r="J140" s="16" t="s">
        <v>14</v>
      </c>
      <c r="K140" s="16" t="s">
        <v>15</v>
      </c>
      <c r="L140" s="16"/>
      <c r="M140" s="16" t="str">
        <f>HYPERLINK("http://www.stromypodkontrolou.cz/map/tree/eb9fcfc1-f6fa-405f-85c7-690b2fb79ecd/7e3a8d12-1995-4b74-8de1-c1a865d5f7a2")</f>
        <v>http://www.stromypodkontrolou.cz/map/tree/eb9fcfc1-f6fa-405f-85c7-690b2fb79ecd/7e3a8d12-1995-4b74-8de1-c1a865d5f7a2</v>
      </c>
      <c r="N140" s="5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</row>
    <row r="141" spans="1:14" s="3" customFormat="1" ht="12.75" customHeight="1">
      <c r="A141" s="9">
        <v>137</v>
      </c>
      <c r="B141" s="10" t="s">
        <v>123</v>
      </c>
      <c r="C141" s="11">
        <v>22</v>
      </c>
      <c r="D141" s="10" t="s">
        <v>39</v>
      </c>
      <c r="E141" s="10" t="s">
        <v>40</v>
      </c>
      <c r="F141" s="10">
        <v>42</v>
      </c>
      <c r="G141" s="10">
        <v>22</v>
      </c>
      <c r="H141" s="10">
        <v>8</v>
      </c>
      <c r="I141" s="10"/>
      <c r="J141" s="10" t="s">
        <v>14</v>
      </c>
      <c r="K141" s="10" t="s">
        <v>15</v>
      </c>
      <c r="L141" s="10"/>
      <c r="M141" s="10" t="str">
        <f>HYPERLINK("http://www.stromypodkontrolou.cz/map/tree/eb9fcfc1-f6fa-405f-85c7-690b2fb79ecd/da255a41-bfc4-4696-86f0-57112bbcdeb8")</f>
        <v>http://www.stromypodkontrolou.cz/map/tree/eb9fcfc1-f6fa-405f-85c7-690b2fb79ecd/da255a41-bfc4-4696-86f0-57112bbcdeb8</v>
      </c>
      <c r="N141" s="53"/>
    </row>
    <row r="142" spans="1:207" s="15" customFormat="1" ht="22.5">
      <c r="A142" s="12">
        <v>138</v>
      </c>
      <c r="B142" s="46" t="s">
        <v>128</v>
      </c>
      <c r="C142" s="47">
        <v>24</v>
      </c>
      <c r="D142" s="46" t="s">
        <v>9</v>
      </c>
      <c r="E142" s="46" t="s">
        <v>10</v>
      </c>
      <c r="F142" s="46">
        <v>48</v>
      </c>
      <c r="G142" s="46">
        <v>20</v>
      </c>
      <c r="H142" s="46">
        <v>8</v>
      </c>
      <c r="I142" s="46"/>
      <c r="J142" s="16" t="s">
        <v>12</v>
      </c>
      <c r="K142" s="16" t="s">
        <v>13</v>
      </c>
      <c r="L142" s="16" t="s">
        <v>22</v>
      </c>
      <c r="M142" s="46" t="str">
        <f>HYPERLINK("http://www.stromypodkontrolou.cz/map/tree/eb9fcfc1-f6fa-405f-85c7-690b2fb79ecd/193a656e-1bc6-4a2f-aeb1-2b895095786f")</f>
        <v>http://www.stromypodkontrolou.cz/map/tree/eb9fcfc1-f6fa-405f-85c7-690b2fb79ecd/193a656e-1bc6-4a2f-aeb1-2b895095786f</v>
      </c>
      <c r="N142" s="5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</row>
    <row r="143" spans="1:207" s="15" customFormat="1" ht="12.75">
      <c r="A143" s="12">
        <v>139</v>
      </c>
      <c r="B143" s="46" t="s">
        <v>128</v>
      </c>
      <c r="C143" s="47">
        <v>24</v>
      </c>
      <c r="D143" s="46" t="s">
        <v>9</v>
      </c>
      <c r="E143" s="46" t="s">
        <v>10</v>
      </c>
      <c r="F143" s="46">
        <v>48</v>
      </c>
      <c r="G143" s="46">
        <v>20</v>
      </c>
      <c r="H143" s="46">
        <v>8</v>
      </c>
      <c r="I143" s="46"/>
      <c r="J143" s="16" t="s">
        <v>14</v>
      </c>
      <c r="K143" s="16" t="s">
        <v>15</v>
      </c>
      <c r="L143" s="43"/>
      <c r="M143" s="46" t="str">
        <f>HYPERLINK("http://www.stromypodkontrolou.cz/map/tree/eb9fcfc1-f6fa-405f-85c7-690b2fb79ecd/193a656e-1bc6-4a2f-aeb1-2b895095786f")</f>
        <v>http://www.stromypodkontrolou.cz/map/tree/eb9fcfc1-f6fa-405f-85c7-690b2fb79ecd/193a656e-1bc6-4a2f-aeb1-2b895095786f</v>
      </c>
      <c r="N143" s="5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</row>
    <row r="144" spans="1:207" s="15" customFormat="1" ht="22.5">
      <c r="A144" s="12">
        <v>140</v>
      </c>
      <c r="B144" s="46" t="s">
        <v>128</v>
      </c>
      <c r="C144" s="47">
        <v>24</v>
      </c>
      <c r="D144" s="46" t="s">
        <v>9</v>
      </c>
      <c r="E144" s="46" t="s">
        <v>10</v>
      </c>
      <c r="F144" s="46">
        <v>48</v>
      </c>
      <c r="G144" s="46">
        <v>20</v>
      </c>
      <c r="H144" s="46">
        <v>8</v>
      </c>
      <c r="I144" s="46"/>
      <c r="J144" s="16" t="s">
        <v>19</v>
      </c>
      <c r="K144" s="16" t="s">
        <v>20</v>
      </c>
      <c r="L144" s="43"/>
      <c r="M144" s="46" t="str">
        <f>HYPERLINK("http://www.stromypodkontrolou.cz/map/tree/eb9fcfc1-f6fa-405f-85c7-690b2fb79ecd/193a656e-1bc6-4a2f-aeb1-2b895095786f")</f>
        <v>http://www.stromypodkontrolou.cz/map/tree/eb9fcfc1-f6fa-405f-85c7-690b2fb79ecd/193a656e-1bc6-4a2f-aeb1-2b895095786f</v>
      </c>
      <c r="N144" s="5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</row>
    <row r="145" spans="1:14" s="3" customFormat="1" ht="45">
      <c r="A145" s="9">
        <v>141</v>
      </c>
      <c r="B145" s="10" t="s">
        <v>128</v>
      </c>
      <c r="C145" s="11">
        <v>118</v>
      </c>
      <c r="D145" s="10" t="s">
        <v>27</v>
      </c>
      <c r="E145" s="10" t="s">
        <v>28</v>
      </c>
      <c r="F145" s="10">
        <v>30</v>
      </c>
      <c r="G145" s="10">
        <v>19</v>
      </c>
      <c r="H145" s="10">
        <v>6</v>
      </c>
      <c r="I145" s="10"/>
      <c r="J145" s="10" t="s">
        <v>19</v>
      </c>
      <c r="K145" s="10" t="s">
        <v>20</v>
      </c>
      <c r="L145" s="10"/>
      <c r="M145" s="10" t="str">
        <f>HYPERLINK("http://www.stromypodkontrolou.cz/map/tree/eb9fcfc1-f6fa-405f-85c7-690b2fb79ecd/5eafbbfa-2a1f-4f5f-8996-f65b494680b3")</f>
        <v>http://www.stromypodkontrolou.cz/map/tree/eb9fcfc1-f6fa-405f-85c7-690b2fb79ecd/5eafbbfa-2a1f-4f5f-8996-f65b494680b3</v>
      </c>
      <c r="N145" s="53"/>
    </row>
    <row r="146" spans="1:207" s="15" customFormat="1" ht="45">
      <c r="A146" s="12">
        <v>142</v>
      </c>
      <c r="B146" s="16" t="s">
        <v>128</v>
      </c>
      <c r="C146" s="14">
        <v>127</v>
      </c>
      <c r="D146" s="16" t="s">
        <v>9</v>
      </c>
      <c r="E146" s="16" t="s">
        <v>10</v>
      </c>
      <c r="F146" s="16">
        <v>27</v>
      </c>
      <c r="G146" s="16">
        <v>14</v>
      </c>
      <c r="H146" s="16">
        <v>7</v>
      </c>
      <c r="I146" s="16" t="s">
        <v>129</v>
      </c>
      <c r="J146" s="16" t="s">
        <v>14</v>
      </c>
      <c r="K146" s="16" t="s">
        <v>15</v>
      </c>
      <c r="L146" s="16"/>
      <c r="M146" s="16" t="str">
        <f>HYPERLINK("http://www.stromypodkontrolou.cz/map/tree/eb9fcfc1-f6fa-405f-85c7-690b2fb79ecd/34ff6156-c30c-4dc0-aa05-4f0740c3d870")</f>
        <v>http://www.stromypodkontrolou.cz/map/tree/eb9fcfc1-f6fa-405f-85c7-690b2fb79ecd/34ff6156-c30c-4dc0-aa05-4f0740c3d870</v>
      </c>
      <c r="N146" s="5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</row>
    <row r="147" spans="1:14" s="3" customFormat="1" ht="12.75">
      <c r="A147" s="9">
        <v>143</v>
      </c>
      <c r="B147" s="38" t="s">
        <v>128</v>
      </c>
      <c r="C147" s="41">
        <v>135</v>
      </c>
      <c r="D147" s="38" t="s">
        <v>9</v>
      </c>
      <c r="E147" s="38" t="s">
        <v>10</v>
      </c>
      <c r="F147" s="38">
        <v>39</v>
      </c>
      <c r="G147" s="38">
        <v>18</v>
      </c>
      <c r="H147" s="38">
        <v>12</v>
      </c>
      <c r="I147" s="38" t="s">
        <v>18</v>
      </c>
      <c r="J147" s="10" t="s">
        <v>14</v>
      </c>
      <c r="K147" s="10" t="s">
        <v>15</v>
      </c>
      <c r="L147" s="10"/>
      <c r="M147" s="38" t="str">
        <f>HYPERLINK("http://www.stromypodkontrolou.cz/map/tree/eb9fcfc1-f6fa-405f-85c7-690b2fb79ecd/da3b9c25-3aae-4b5e-986d-e61dee65dbf2")</f>
        <v>http://www.stromypodkontrolou.cz/map/tree/eb9fcfc1-f6fa-405f-85c7-690b2fb79ecd/da3b9c25-3aae-4b5e-986d-e61dee65dbf2</v>
      </c>
      <c r="N147" s="53"/>
    </row>
    <row r="148" spans="1:14" s="3" customFormat="1" ht="25.5" customHeight="1">
      <c r="A148" s="9">
        <v>144</v>
      </c>
      <c r="B148" s="38" t="s">
        <v>128</v>
      </c>
      <c r="C148" s="41">
        <v>135</v>
      </c>
      <c r="D148" s="38" t="s">
        <v>9</v>
      </c>
      <c r="E148" s="38" t="s">
        <v>10</v>
      </c>
      <c r="F148" s="38">
        <v>39</v>
      </c>
      <c r="G148" s="38">
        <v>18</v>
      </c>
      <c r="H148" s="38">
        <v>12</v>
      </c>
      <c r="I148" s="38" t="s">
        <v>18</v>
      </c>
      <c r="J148" s="10" t="s">
        <v>12</v>
      </c>
      <c r="K148" s="10" t="s">
        <v>13</v>
      </c>
      <c r="L148" s="10" t="s">
        <v>17</v>
      </c>
      <c r="M148" s="38" t="str">
        <f>HYPERLINK("http://www.stromypodkontrolou.cz/map/tree/eb9fcfc1-f6fa-405f-85c7-690b2fb79ecd/da3b9c25-3aae-4b5e-986d-e61dee65dbf2")</f>
        <v>http://www.stromypodkontrolou.cz/map/tree/eb9fcfc1-f6fa-405f-85c7-690b2fb79ecd/da3b9c25-3aae-4b5e-986d-e61dee65dbf2</v>
      </c>
      <c r="N148" s="53"/>
    </row>
    <row r="149" spans="1:207" s="15" customFormat="1" ht="25.5" customHeight="1">
      <c r="A149" s="12">
        <v>145</v>
      </c>
      <c r="B149" s="46" t="s">
        <v>128</v>
      </c>
      <c r="C149" s="47">
        <v>143</v>
      </c>
      <c r="D149" s="46" t="s">
        <v>9</v>
      </c>
      <c r="E149" s="46" t="s">
        <v>10</v>
      </c>
      <c r="F149" s="46">
        <v>29</v>
      </c>
      <c r="G149" s="46">
        <v>16</v>
      </c>
      <c r="H149" s="46">
        <v>8</v>
      </c>
      <c r="I149" s="46" t="s">
        <v>29</v>
      </c>
      <c r="J149" s="16" t="s">
        <v>12</v>
      </c>
      <c r="K149" s="16" t="s">
        <v>13</v>
      </c>
      <c r="L149" s="16" t="s">
        <v>17</v>
      </c>
      <c r="M149" s="46" t="str">
        <f>HYPERLINK("http://www.stromypodkontrolou.cz/map/tree/eb9fcfc1-f6fa-405f-85c7-690b2fb79ecd/f44fd66c-c456-4a90-ab95-10e1a50f58ed")</f>
        <v>http://www.stromypodkontrolou.cz/map/tree/eb9fcfc1-f6fa-405f-85c7-690b2fb79ecd/f44fd66c-c456-4a90-ab95-10e1a50f58ed</v>
      </c>
      <c r="N149" s="5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</row>
    <row r="150" spans="1:207" s="15" customFormat="1" ht="12.75">
      <c r="A150" s="12">
        <v>146</v>
      </c>
      <c r="B150" s="46" t="s">
        <v>128</v>
      </c>
      <c r="C150" s="47">
        <v>143</v>
      </c>
      <c r="D150" s="46" t="s">
        <v>9</v>
      </c>
      <c r="E150" s="46" t="s">
        <v>10</v>
      </c>
      <c r="F150" s="46">
        <v>29</v>
      </c>
      <c r="G150" s="46">
        <v>16</v>
      </c>
      <c r="H150" s="46">
        <v>8</v>
      </c>
      <c r="I150" s="46" t="s">
        <v>29</v>
      </c>
      <c r="J150" s="16" t="s">
        <v>14</v>
      </c>
      <c r="K150" s="16" t="s">
        <v>15</v>
      </c>
      <c r="L150" s="16"/>
      <c r="M150" s="46" t="str">
        <f>HYPERLINK("http://www.stromypodkontrolou.cz/map/tree/eb9fcfc1-f6fa-405f-85c7-690b2fb79ecd/f44fd66c-c456-4a90-ab95-10e1a50f58ed")</f>
        <v>http://www.stromypodkontrolou.cz/map/tree/eb9fcfc1-f6fa-405f-85c7-690b2fb79ecd/f44fd66c-c456-4a90-ab95-10e1a50f58ed</v>
      </c>
      <c r="N150" s="5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</row>
    <row r="151" spans="1:14" s="3" customFormat="1" ht="45">
      <c r="A151" s="9">
        <v>147</v>
      </c>
      <c r="B151" s="10" t="s">
        <v>128</v>
      </c>
      <c r="C151" s="11">
        <v>147</v>
      </c>
      <c r="D151" s="10" t="s">
        <v>9</v>
      </c>
      <c r="E151" s="10" t="s">
        <v>10</v>
      </c>
      <c r="F151" s="10">
        <v>30</v>
      </c>
      <c r="G151" s="10">
        <v>17</v>
      </c>
      <c r="H151" s="10">
        <v>9</v>
      </c>
      <c r="I151" s="10" t="s">
        <v>18</v>
      </c>
      <c r="J151" s="10" t="s">
        <v>14</v>
      </c>
      <c r="K151" s="10" t="s">
        <v>15</v>
      </c>
      <c r="L151" s="10" t="s">
        <v>17</v>
      </c>
      <c r="M151" s="10" t="str">
        <f>HYPERLINK("http://www.stromypodkontrolou.cz/map/tree/eb9fcfc1-f6fa-405f-85c7-690b2fb79ecd/eaf4a947-6346-4741-80ea-cf94fd1d160e")</f>
        <v>http://www.stromypodkontrolou.cz/map/tree/eb9fcfc1-f6fa-405f-85c7-690b2fb79ecd/eaf4a947-6346-4741-80ea-cf94fd1d160e</v>
      </c>
      <c r="N151" s="53"/>
    </row>
    <row r="152" spans="1:207" s="15" customFormat="1" ht="45">
      <c r="A152" s="12">
        <v>148</v>
      </c>
      <c r="B152" s="16" t="s">
        <v>128</v>
      </c>
      <c r="C152" s="14">
        <v>165</v>
      </c>
      <c r="D152" s="16" t="s">
        <v>9</v>
      </c>
      <c r="E152" s="16" t="s">
        <v>10</v>
      </c>
      <c r="F152" s="16">
        <v>45</v>
      </c>
      <c r="G152" s="16">
        <v>18</v>
      </c>
      <c r="H152" s="16">
        <v>13</v>
      </c>
      <c r="I152" s="16" t="s">
        <v>18</v>
      </c>
      <c r="J152" s="16" t="s">
        <v>14</v>
      </c>
      <c r="K152" s="16" t="s">
        <v>15</v>
      </c>
      <c r="L152" s="16" t="s">
        <v>17</v>
      </c>
      <c r="M152" s="16" t="str">
        <f>HYPERLINK("http://www.stromypodkontrolou.cz/map/tree/eb9fcfc1-f6fa-405f-85c7-690b2fb79ecd/fa547c05-ad04-44b1-9cc8-c40489cd81ed")</f>
        <v>http://www.stromypodkontrolou.cz/map/tree/eb9fcfc1-f6fa-405f-85c7-690b2fb79ecd/fa547c05-ad04-44b1-9cc8-c40489cd81ed</v>
      </c>
      <c r="N152" s="5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</row>
    <row r="153" spans="1:14" s="3" customFormat="1" ht="45">
      <c r="A153" s="9">
        <v>149</v>
      </c>
      <c r="B153" s="10" t="s">
        <v>128</v>
      </c>
      <c r="C153" s="11">
        <v>174</v>
      </c>
      <c r="D153" s="10" t="s">
        <v>9</v>
      </c>
      <c r="E153" s="10" t="s">
        <v>10</v>
      </c>
      <c r="F153" s="10">
        <v>48</v>
      </c>
      <c r="G153" s="10">
        <v>21</v>
      </c>
      <c r="H153" s="10">
        <v>16</v>
      </c>
      <c r="I153" s="10"/>
      <c r="J153" s="10" t="s">
        <v>14</v>
      </c>
      <c r="K153" s="10" t="s">
        <v>15</v>
      </c>
      <c r="L153" s="10"/>
      <c r="M153" s="10" t="str">
        <f>HYPERLINK("http://www.stromypodkontrolou.cz/map/tree/eb9fcfc1-f6fa-405f-85c7-690b2fb79ecd/f4319f67-f603-413d-bd0a-737f597e66c1")</f>
        <v>http://www.stromypodkontrolou.cz/map/tree/eb9fcfc1-f6fa-405f-85c7-690b2fb79ecd/f4319f67-f603-413d-bd0a-737f597e66c1</v>
      </c>
      <c r="N153" s="53"/>
    </row>
    <row r="154" spans="1:207" s="15" customFormat="1" ht="56.25">
      <c r="A154" s="12">
        <v>150</v>
      </c>
      <c r="B154" s="16" t="s">
        <v>128</v>
      </c>
      <c r="C154" s="14">
        <v>194</v>
      </c>
      <c r="D154" s="16" t="s">
        <v>9</v>
      </c>
      <c r="E154" s="16" t="s">
        <v>10</v>
      </c>
      <c r="F154" s="16">
        <v>35</v>
      </c>
      <c r="G154" s="16">
        <v>17</v>
      </c>
      <c r="H154" s="16">
        <v>12</v>
      </c>
      <c r="I154" s="16" t="s">
        <v>130</v>
      </c>
      <c r="J154" s="16" t="s">
        <v>14</v>
      </c>
      <c r="K154" s="16" t="s">
        <v>15</v>
      </c>
      <c r="L154" s="16" t="s">
        <v>17</v>
      </c>
      <c r="M154" s="16" t="str">
        <f>HYPERLINK("http://www.stromypodkontrolou.cz/map/tree/eb9fcfc1-f6fa-405f-85c7-690b2fb79ecd/3447ec36-86c4-4c73-b367-ba68f1c65f28")</f>
        <v>http://www.stromypodkontrolou.cz/map/tree/eb9fcfc1-f6fa-405f-85c7-690b2fb79ecd/3447ec36-86c4-4c73-b367-ba68f1c65f28</v>
      </c>
      <c r="N154" s="5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</row>
    <row r="155" spans="1:14" s="3" customFormat="1" ht="12.75">
      <c r="A155" s="9">
        <v>151</v>
      </c>
      <c r="B155" s="38" t="s">
        <v>128</v>
      </c>
      <c r="C155" s="41">
        <v>240</v>
      </c>
      <c r="D155" s="38" t="s">
        <v>9</v>
      </c>
      <c r="E155" s="38" t="s">
        <v>10</v>
      </c>
      <c r="F155" s="38">
        <v>39</v>
      </c>
      <c r="G155" s="38">
        <v>19</v>
      </c>
      <c r="H155" s="38">
        <v>14</v>
      </c>
      <c r="I155" s="38" t="s">
        <v>131</v>
      </c>
      <c r="J155" s="10" t="s">
        <v>14</v>
      </c>
      <c r="K155" s="10" t="s">
        <v>15</v>
      </c>
      <c r="L155" s="10"/>
      <c r="M155" s="38" t="str">
        <f>HYPERLINK("http://www.stromypodkontrolou.cz/map/tree/eb9fcfc1-f6fa-405f-85c7-690b2fb79ecd/4c12a8a2-5b26-4f22-88bd-3e3529116d67")</f>
        <v>http://www.stromypodkontrolou.cz/map/tree/eb9fcfc1-f6fa-405f-85c7-690b2fb79ecd/4c12a8a2-5b26-4f22-88bd-3e3529116d67</v>
      </c>
      <c r="N155" s="53"/>
    </row>
    <row r="156" spans="1:14" s="3" customFormat="1" ht="33.75">
      <c r="A156" s="9">
        <v>152</v>
      </c>
      <c r="B156" s="38" t="s">
        <v>128</v>
      </c>
      <c r="C156" s="41">
        <v>240</v>
      </c>
      <c r="D156" s="38" t="s">
        <v>9</v>
      </c>
      <c r="E156" s="38" t="s">
        <v>10</v>
      </c>
      <c r="F156" s="38">
        <v>39</v>
      </c>
      <c r="G156" s="38">
        <v>19</v>
      </c>
      <c r="H156" s="38">
        <v>14</v>
      </c>
      <c r="I156" s="38" t="s">
        <v>131</v>
      </c>
      <c r="J156" s="10" t="s">
        <v>12</v>
      </c>
      <c r="K156" s="10" t="s">
        <v>13</v>
      </c>
      <c r="L156" s="10" t="s">
        <v>68</v>
      </c>
      <c r="M156" s="38" t="str">
        <f>HYPERLINK("http://www.stromypodkontrolou.cz/map/tree/eb9fcfc1-f6fa-405f-85c7-690b2fb79ecd/4c12a8a2-5b26-4f22-88bd-3e3529116d67")</f>
        <v>http://www.stromypodkontrolou.cz/map/tree/eb9fcfc1-f6fa-405f-85c7-690b2fb79ecd/4c12a8a2-5b26-4f22-88bd-3e3529116d67</v>
      </c>
      <c r="N156" s="53"/>
    </row>
    <row r="157" spans="1:207" s="15" customFormat="1" ht="12.75">
      <c r="A157" s="12">
        <v>153</v>
      </c>
      <c r="B157" s="46" t="s">
        <v>128</v>
      </c>
      <c r="C157" s="47">
        <v>243</v>
      </c>
      <c r="D157" s="46" t="s">
        <v>9</v>
      </c>
      <c r="E157" s="46" t="s">
        <v>10</v>
      </c>
      <c r="F157" s="46">
        <v>44</v>
      </c>
      <c r="G157" s="46">
        <v>18</v>
      </c>
      <c r="H157" s="46">
        <v>14</v>
      </c>
      <c r="I157" s="46" t="s">
        <v>23</v>
      </c>
      <c r="J157" s="16" t="s">
        <v>14</v>
      </c>
      <c r="K157" s="16" t="s">
        <v>15</v>
      </c>
      <c r="L157" s="43"/>
      <c r="M157" s="46" t="str">
        <f>HYPERLINK("http://www.stromypodkontrolou.cz/map/tree/eb9fcfc1-f6fa-405f-85c7-690b2fb79ecd/31cdb6c9-362a-4094-bb67-2ca1fc160a0b")</f>
        <v>http://www.stromypodkontrolou.cz/map/tree/eb9fcfc1-f6fa-405f-85c7-690b2fb79ecd/31cdb6c9-362a-4094-bb67-2ca1fc160a0b</v>
      </c>
      <c r="N157" s="5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</row>
    <row r="158" spans="1:207" s="15" customFormat="1" ht="22.5">
      <c r="A158" s="12">
        <v>154</v>
      </c>
      <c r="B158" s="46" t="s">
        <v>128</v>
      </c>
      <c r="C158" s="47">
        <v>243</v>
      </c>
      <c r="D158" s="46" t="s">
        <v>9</v>
      </c>
      <c r="E158" s="46" t="s">
        <v>10</v>
      </c>
      <c r="F158" s="46">
        <v>44</v>
      </c>
      <c r="G158" s="46">
        <v>18</v>
      </c>
      <c r="H158" s="46">
        <v>14</v>
      </c>
      <c r="I158" s="46" t="s">
        <v>23</v>
      </c>
      <c r="J158" s="16" t="s">
        <v>12</v>
      </c>
      <c r="K158" s="16" t="s">
        <v>13</v>
      </c>
      <c r="L158" s="43"/>
      <c r="M158" s="46" t="str">
        <f>HYPERLINK("http://www.stromypodkontrolou.cz/map/tree/eb9fcfc1-f6fa-405f-85c7-690b2fb79ecd/31cdb6c9-362a-4094-bb67-2ca1fc160a0b")</f>
        <v>http://www.stromypodkontrolou.cz/map/tree/eb9fcfc1-f6fa-405f-85c7-690b2fb79ecd/31cdb6c9-362a-4094-bb67-2ca1fc160a0b</v>
      </c>
      <c r="N158" s="5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</row>
    <row r="159" spans="1:14" s="3" customFormat="1" ht="22.5">
      <c r="A159" s="9">
        <v>155</v>
      </c>
      <c r="B159" s="38" t="s">
        <v>128</v>
      </c>
      <c r="C159" s="41">
        <v>245</v>
      </c>
      <c r="D159" s="38" t="s">
        <v>9</v>
      </c>
      <c r="E159" s="38" t="s">
        <v>10</v>
      </c>
      <c r="F159" s="38">
        <v>36</v>
      </c>
      <c r="G159" s="38">
        <v>14</v>
      </c>
      <c r="H159" s="38">
        <v>9</v>
      </c>
      <c r="I159" s="38" t="s">
        <v>132</v>
      </c>
      <c r="J159" s="10" t="s">
        <v>12</v>
      </c>
      <c r="K159" s="10" t="s">
        <v>13</v>
      </c>
      <c r="L159" s="42"/>
      <c r="M159" s="38" t="str">
        <f>HYPERLINK("http://www.stromypodkontrolou.cz/map/tree/eb9fcfc1-f6fa-405f-85c7-690b2fb79ecd/b7a1c588-a3b8-4759-982d-6ff024893291")</f>
        <v>http://www.stromypodkontrolou.cz/map/tree/eb9fcfc1-f6fa-405f-85c7-690b2fb79ecd/b7a1c588-a3b8-4759-982d-6ff024893291</v>
      </c>
      <c r="N159" s="53"/>
    </row>
    <row r="160" spans="1:14" s="3" customFormat="1" ht="24.75" customHeight="1">
      <c r="A160" s="9">
        <v>156</v>
      </c>
      <c r="B160" s="38" t="s">
        <v>128</v>
      </c>
      <c r="C160" s="41">
        <v>245</v>
      </c>
      <c r="D160" s="38" t="s">
        <v>9</v>
      </c>
      <c r="E160" s="38" t="s">
        <v>10</v>
      </c>
      <c r="F160" s="38">
        <v>36</v>
      </c>
      <c r="G160" s="38">
        <v>14</v>
      </c>
      <c r="H160" s="38">
        <v>9</v>
      </c>
      <c r="I160" s="38" t="s">
        <v>132</v>
      </c>
      <c r="J160" s="10" t="s">
        <v>14</v>
      </c>
      <c r="K160" s="10" t="s">
        <v>15</v>
      </c>
      <c r="L160" s="42"/>
      <c r="M160" s="38" t="str">
        <f>HYPERLINK("http://www.stromypodkontrolou.cz/map/tree/eb9fcfc1-f6fa-405f-85c7-690b2fb79ecd/b7a1c588-a3b8-4759-982d-6ff024893291")</f>
        <v>http://www.stromypodkontrolou.cz/map/tree/eb9fcfc1-f6fa-405f-85c7-690b2fb79ecd/b7a1c588-a3b8-4759-982d-6ff024893291</v>
      </c>
      <c r="N160" s="53"/>
    </row>
    <row r="161" spans="1:207" s="15" customFormat="1" ht="12.75">
      <c r="A161" s="12">
        <v>157</v>
      </c>
      <c r="B161" s="46" t="s">
        <v>128</v>
      </c>
      <c r="C161" s="47">
        <v>248</v>
      </c>
      <c r="D161" s="46" t="s">
        <v>9</v>
      </c>
      <c r="E161" s="46" t="s">
        <v>10</v>
      </c>
      <c r="F161" s="46">
        <v>35</v>
      </c>
      <c r="G161" s="46">
        <v>18</v>
      </c>
      <c r="H161" s="46">
        <v>11</v>
      </c>
      <c r="I161" s="46" t="s">
        <v>23</v>
      </c>
      <c r="J161" s="16" t="s">
        <v>14</v>
      </c>
      <c r="K161" s="16" t="s">
        <v>15</v>
      </c>
      <c r="L161" s="43"/>
      <c r="M161" s="46" t="str">
        <f>HYPERLINK("http://www.stromypodkontrolou.cz/map/tree/eb9fcfc1-f6fa-405f-85c7-690b2fb79ecd/7469845b-5d13-42ea-8494-e4da177af662")</f>
        <v>http://www.stromypodkontrolou.cz/map/tree/eb9fcfc1-f6fa-405f-85c7-690b2fb79ecd/7469845b-5d13-42ea-8494-e4da177af662</v>
      </c>
      <c r="N161" s="5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</row>
    <row r="162" spans="1:207" s="15" customFormat="1" ht="22.5">
      <c r="A162" s="12">
        <v>158</v>
      </c>
      <c r="B162" s="46" t="s">
        <v>128</v>
      </c>
      <c r="C162" s="47">
        <v>248</v>
      </c>
      <c r="D162" s="46" t="s">
        <v>9</v>
      </c>
      <c r="E162" s="46" t="s">
        <v>10</v>
      </c>
      <c r="F162" s="46">
        <v>35</v>
      </c>
      <c r="G162" s="46">
        <v>18</v>
      </c>
      <c r="H162" s="46">
        <v>11</v>
      </c>
      <c r="I162" s="46" t="s">
        <v>23</v>
      </c>
      <c r="J162" s="16" t="s">
        <v>12</v>
      </c>
      <c r="K162" s="16" t="s">
        <v>13</v>
      </c>
      <c r="L162" s="43"/>
      <c r="M162" s="46" t="str">
        <f>HYPERLINK("http://www.stromypodkontrolou.cz/map/tree/eb9fcfc1-f6fa-405f-85c7-690b2fb79ecd/7469845b-5d13-42ea-8494-e4da177af662")</f>
        <v>http://www.stromypodkontrolou.cz/map/tree/eb9fcfc1-f6fa-405f-85c7-690b2fb79ecd/7469845b-5d13-42ea-8494-e4da177af662</v>
      </c>
      <c r="N162" s="5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</row>
    <row r="163" spans="1:14" s="3" customFormat="1" ht="12.75">
      <c r="A163" s="9">
        <v>159</v>
      </c>
      <c r="B163" s="38" t="s">
        <v>128</v>
      </c>
      <c r="C163" s="41">
        <v>289</v>
      </c>
      <c r="D163" s="38" t="s">
        <v>9</v>
      </c>
      <c r="E163" s="38" t="s">
        <v>10</v>
      </c>
      <c r="F163" s="38">
        <v>47</v>
      </c>
      <c r="G163" s="38">
        <v>20</v>
      </c>
      <c r="H163" s="38">
        <v>10</v>
      </c>
      <c r="I163" s="38" t="s">
        <v>23</v>
      </c>
      <c r="J163" s="10" t="s">
        <v>14</v>
      </c>
      <c r="K163" s="10" t="s">
        <v>15</v>
      </c>
      <c r="L163" s="10"/>
      <c r="M163" s="38" t="str">
        <f>HYPERLINK("http://www.stromypodkontrolou.cz/map/tree/eb9fcfc1-f6fa-405f-85c7-690b2fb79ecd/bf014d1e-877b-4e40-ab92-a62dca7f4350")</f>
        <v>http://www.stromypodkontrolou.cz/map/tree/eb9fcfc1-f6fa-405f-85c7-690b2fb79ecd/bf014d1e-877b-4e40-ab92-a62dca7f4350</v>
      </c>
      <c r="N163" s="53"/>
    </row>
    <row r="164" spans="1:14" s="3" customFormat="1" ht="25.5" customHeight="1">
      <c r="A164" s="9">
        <v>160</v>
      </c>
      <c r="B164" s="38" t="s">
        <v>128</v>
      </c>
      <c r="C164" s="41">
        <v>289</v>
      </c>
      <c r="D164" s="38" t="s">
        <v>9</v>
      </c>
      <c r="E164" s="38" t="s">
        <v>10</v>
      </c>
      <c r="F164" s="38">
        <v>47</v>
      </c>
      <c r="G164" s="38">
        <v>20</v>
      </c>
      <c r="H164" s="38">
        <v>10</v>
      </c>
      <c r="I164" s="38" t="s">
        <v>23</v>
      </c>
      <c r="J164" s="10" t="s">
        <v>12</v>
      </c>
      <c r="K164" s="10" t="s">
        <v>13</v>
      </c>
      <c r="L164" s="10" t="s">
        <v>17</v>
      </c>
      <c r="M164" s="38" t="str">
        <f>HYPERLINK("http://www.stromypodkontrolou.cz/map/tree/eb9fcfc1-f6fa-405f-85c7-690b2fb79ecd/bf014d1e-877b-4e40-ab92-a62dca7f4350")</f>
        <v>http://www.stromypodkontrolou.cz/map/tree/eb9fcfc1-f6fa-405f-85c7-690b2fb79ecd/bf014d1e-877b-4e40-ab92-a62dca7f4350</v>
      </c>
      <c r="N164" s="53"/>
    </row>
    <row r="165" spans="1:207" s="15" customFormat="1" ht="25.5" customHeight="1">
      <c r="A165" s="12">
        <v>161</v>
      </c>
      <c r="B165" s="46" t="s">
        <v>128</v>
      </c>
      <c r="C165" s="47">
        <v>298</v>
      </c>
      <c r="D165" s="46" t="s">
        <v>9</v>
      </c>
      <c r="E165" s="46" t="s">
        <v>10</v>
      </c>
      <c r="F165" s="46">
        <v>39</v>
      </c>
      <c r="G165" s="46">
        <v>16</v>
      </c>
      <c r="H165" s="46">
        <v>8</v>
      </c>
      <c r="I165" s="46" t="s">
        <v>23</v>
      </c>
      <c r="J165" s="16" t="s">
        <v>12</v>
      </c>
      <c r="K165" s="16" t="s">
        <v>13</v>
      </c>
      <c r="L165" s="16" t="s">
        <v>17</v>
      </c>
      <c r="M165" s="46" t="str">
        <f>HYPERLINK("http://www.stromypodkontrolou.cz/map/tree/eb9fcfc1-f6fa-405f-85c7-690b2fb79ecd/6365c4d7-ef90-481f-8b59-c5f534e53691")</f>
        <v>http://www.stromypodkontrolou.cz/map/tree/eb9fcfc1-f6fa-405f-85c7-690b2fb79ecd/6365c4d7-ef90-481f-8b59-c5f534e53691</v>
      </c>
      <c r="N165" s="5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</row>
    <row r="166" spans="1:207" s="15" customFormat="1" ht="12.75">
      <c r="A166" s="12">
        <v>162</v>
      </c>
      <c r="B166" s="46" t="s">
        <v>128</v>
      </c>
      <c r="C166" s="47">
        <v>298</v>
      </c>
      <c r="D166" s="46" t="s">
        <v>9</v>
      </c>
      <c r="E166" s="46" t="s">
        <v>10</v>
      </c>
      <c r="F166" s="46">
        <v>39</v>
      </c>
      <c r="G166" s="46">
        <v>16</v>
      </c>
      <c r="H166" s="46">
        <v>8</v>
      </c>
      <c r="I166" s="46" t="s">
        <v>23</v>
      </c>
      <c r="J166" s="16" t="s">
        <v>14</v>
      </c>
      <c r="K166" s="16" t="s">
        <v>15</v>
      </c>
      <c r="L166" s="16"/>
      <c r="M166" s="46" t="str">
        <f>HYPERLINK("http://www.stromypodkontrolou.cz/map/tree/eb9fcfc1-f6fa-405f-85c7-690b2fb79ecd/6365c4d7-ef90-481f-8b59-c5f534e53691")</f>
        <v>http://www.stromypodkontrolou.cz/map/tree/eb9fcfc1-f6fa-405f-85c7-690b2fb79ecd/6365c4d7-ef90-481f-8b59-c5f534e53691</v>
      </c>
      <c r="N166" s="5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</row>
    <row r="167" spans="1:14" s="3" customFormat="1" ht="25.5" customHeight="1">
      <c r="A167" s="9">
        <v>163</v>
      </c>
      <c r="B167" s="38" t="s">
        <v>128</v>
      </c>
      <c r="C167" s="41">
        <v>299</v>
      </c>
      <c r="D167" s="38" t="s">
        <v>9</v>
      </c>
      <c r="E167" s="38" t="s">
        <v>10</v>
      </c>
      <c r="F167" s="38">
        <v>43</v>
      </c>
      <c r="G167" s="38">
        <v>17</v>
      </c>
      <c r="H167" s="38">
        <v>8</v>
      </c>
      <c r="I167" s="38" t="s">
        <v>133</v>
      </c>
      <c r="J167" s="10" t="s">
        <v>12</v>
      </c>
      <c r="K167" s="10" t="s">
        <v>13</v>
      </c>
      <c r="L167" s="10" t="s">
        <v>17</v>
      </c>
      <c r="M167" s="38" t="str">
        <f>HYPERLINK("http://www.stromypodkontrolou.cz/map/tree/eb9fcfc1-f6fa-405f-85c7-690b2fb79ecd/b0ab8346-1383-4b7d-9ac3-f2ea543e6820")</f>
        <v>http://www.stromypodkontrolou.cz/map/tree/eb9fcfc1-f6fa-405f-85c7-690b2fb79ecd/b0ab8346-1383-4b7d-9ac3-f2ea543e6820</v>
      </c>
      <c r="N167" s="53"/>
    </row>
    <row r="168" spans="1:14" s="3" customFormat="1" ht="12.75">
      <c r="A168" s="9">
        <v>164</v>
      </c>
      <c r="B168" s="38" t="s">
        <v>128</v>
      </c>
      <c r="C168" s="41">
        <v>299</v>
      </c>
      <c r="D168" s="38" t="s">
        <v>9</v>
      </c>
      <c r="E168" s="38" t="s">
        <v>10</v>
      </c>
      <c r="F168" s="38">
        <v>43</v>
      </c>
      <c r="G168" s="38">
        <v>17</v>
      </c>
      <c r="H168" s="38">
        <v>8</v>
      </c>
      <c r="I168" s="38" t="s">
        <v>133</v>
      </c>
      <c r="J168" s="10" t="s">
        <v>14</v>
      </c>
      <c r="K168" s="10" t="s">
        <v>15</v>
      </c>
      <c r="L168" s="10"/>
      <c r="M168" s="38" t="str">
        <f>HYPERLINK("http://www.stromypodkontrolou.cz/map/tree/eb9fcfc1-f6fa-405f-85c7-690b2fb79ecd/b0ab8346-1383-4b7d-9ac3-f2ea543e6820")</f>
        <v>http://www.stromypodkontrolou.cz/map/tree/eb9fcfc1-f6fa-405f-85c7-690b2fb79ecd/b0ab8346-1383-4b7d-9ac3-f2ea543e6820</v>
      </c>
      <c r="N168" s="53"/>
    </row>
    <row r="169" spans="1:207" s="15" customFormat="1" ht="45">
      <c r="A169" s="12">
        <v>165</v>
      </c>
      <c r="B169" s="16" t="s">
        <v>128</v>
      </c>
      <c r="C169" s="14">
        <v>308</v>
      </c>
      <c r="D169" s="16" t="s">
        <v>9</v>
      </c>
      <c r="E169" s="16" t="s">
        <v>10</v>
      </c>
      <c r="F169" s="16">
        <v>30</v>
      </c>
      <c r="G169" s="16">
        <v>17</v>
      </c>
      <c r="H169" s="16">
        <v>8</v>
      </c>
      <c r="I169" s="16"/>
      <c r="J169" s="16" t="s">
        <v>14</v>
      </c>
      <c r="K169" s="16" t="s">
        <v>15</v>
      </c>
      <c r="L169" s="16"/>
      <c r="M169" s="16" t="str">
        <f>HYPERLINK("http://www.stromypodkontrolou.cz/map/tree/eb9fcfc1-f6fa-405f-85c7-690b2fb79ecd/a19d8ec8-ab41-4927-97bf-78c1a340dc8a")</f>
        <v>http://www.stromypodkontrolou.cz/map/tree/eb9fcfc1-f6fa-405f-85c7-690b2fb79ecd/a19d8ec8-ab41-4927-97bf-78c1a340dc8a</v>
      </c>
      <c r="N169" s="5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</row>
    <row r="170" spans="1:14" s="3" customFormat="1" ht="51" customHeight="1">
      <c r="A170" s="9">
        <v>166</v>
      </c>
      <c r="B170" s="10" t="s">
        <v>128</v>
      </c>
      <c r="C170" s="11">
        <v>310</v>
      </c>
      <c r="D170" s="10" t="s">
        <v>9</v>
      </c>
      <c r="E170" s="10" t="s">
        <v>10</v>
      </c>
      <c r="F170" s="10">
        <v>26</v>
      </c>
      <c r="G170" s="10">
        <v>19</v>
      </c>
      <c r="H170" s="10">
        <v>8</v>
      </c>
      <c r="I170" s="10" t="s">
        <v>133</v>
      </c>
      <c r="J170" s="10" t="s">
        <v>14</v>
      </c>
      <c r="K170" s="10" t="s">
        <v>15</v>
      </c>
      <c r="L170" s="10"/>
      <c r="M170" s="10" t="str">
        <f>HYPERLINK("http://www.stromypodkontrolou.cz/map/tree/eb9fcfc1-f6fa-405f-85c7-690b2fb79ecd/73d01c67-fde3-4159-95cb-7ea3413a4451")</f>
        <v>http://www.stromypodkontrolou.cz/map/tree/eb9fcfc1-f6fa-405f-85c7-690b2fb79ecd/73d01c67-fde3-4159-95cb-7ea3413a4451</v>
      </c>
      <c r="N170" s="53"/>
    </row>
    <row r="171" spans="1:207" s="15" customFormat="1" ht="51" customHeight="1">
      <c r="A171" s="12">
        <v>167</v>
      </c>
      <c r="B171" s="16" t="s">
        <v>128</v>
      </c>
      <c r="C171" s="14">
        <v>411</v>
      </c>
      <c r="D171" s="16" t="s">
        <v>64</v>
      </c>
      <c r="E171" s="16" t="s">
        <v>65</v>
      </c>
      <c r="F171" s="16">
        <v>31</v>
      </c>
      <c r="G171" s="16">
        <v>24</v>
      </c>
      <c r="H171" s="16">
        <v>8</v>
      </c>
      <c r="I171" s="16" t="s">
        <v>134</v>
      </c>
      <c r="J171" s="16" t="s">
        <v>14</v>
      </c>
      <c r="K171" s="16" t="s">
        <v>15</v>
      </c>
      <c r="L171" s="16"/>
      <c r="M171" s="16" t="str">
        <f>HYPERLINK("http://www.stromypodkontrolou.cz/map/tree/eb9fcfc1-f6fa-405f-85c7-690b2fb79ecd/929d1057-fa6f-4648-8c59-746653014554")</f>
        <v>http://www.stromypodkontrolou.cz/map/tree/eb9fcfc1-f6fa-405f-85c7-690b2fb79ecd/929d1057-fa6f-4648-8c59-746653014554</v>
      </c>
      <c r="N171" s="5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</row>
    <row r="172" spans="1:14" s="3" customFormat="1" ht="45">
      <c r="A172" s="9">
        <v>168</v>
      </c>
      <c r="B172" s="10" t="s">
        <v>128</v>
      </c>
      <c r="C172" s="11">
        <v>422</v>
      </c>
      <c r="D172" s="10" t="s">
        <v>9</v>
      </c>
      <c r="E172" s="10" t="s">
        <v>10</v>
      </c>
      <c r="F172" s="10">
        <v>28</v>
      </c>
      <c r="G172" s="10">
        <v>16</v>
      </c>
      <c r="H172" s="10">
        <v>5</v>
      </c>
      <c r="I172" s="10"/>
      <c r="J172" s="10" t="s">
        <v>14</v>
      </c>
      <c r="K172" s="10" t="s">
        <v>15</v>
      </c>
      <c r="L172" s="10"/>
      <c r="M172" s="10" t="str">
        <f>HYPERLINK("http://www.stromypodkontrolou.cz/map/tree/eb9fcfc1-f6fa-405f-85c7-690b2fb79ecd/8200ee26-c03d-4d57-8393-95e94b22b985")</f>
        <v>http://www.stromypodkontrolou.cz/map/tree/eb9fcfc1-f6fa-405f-85c7-690b2fb79ecd/8200ee26-c03d-4d57-8393-95e94b22b985</v>
      </c>
      <c r="N172" s="53"/>
    </row>
    <row r="173" spans="1:207" s="15" customFormat="1" ht="45">
      <c r="A173" s="12">
        <v>169</v>
      </c>
      <c r="B173" s="16" t="s">
        <v>128</v>
      </c>
      <c r="C173" s="14">
        <v>423</v>
      </c>
      <c r="D173" s="16" t="s">
        <v>9</v>
      </c>
      <c r="E173" s="16" t="s">
        <v>10</v>
      </c>
      <c r="F173" s="16">
        <v>32</v>
      </c>
      <c r="G173" s="16">
        <v>18</v>
      </c>
      <c r="H173" s="16">
        <v>8</v>
      </c>
      <c r="I173" s="16" t="s">
        <v>18</v>
      </c>
      <c r="J173" s="16" t="s">
        <v>14</v>
      </c>
      <c r="K173" s="16" t="s">
        <v>15</v>
      </c>
      <c r="L173" s="16" t="s">
        <v>17</v>
      </c>
      <c r="M173" s="16" t="str">
        <f>HYPERLINK("http://www.stromypodkontrolou.cz/map/tree/eb9fcfc1-f6fa-405f-85c7-690b2fb79ecd/c1ddaf44-3b46-4a09-94d8-8a2b89c66adc")</f>
        <v>http://www.stromypodkontrolou.cz/map/tree/eb9fcfc1-f6fa-405f-85c7-690b2fb79ecd/c1ddaf44-3b46-4a09-94d8-8a2b89c66adc</v>
      </c>
      <c r="N173" s="5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</row>
    <row r="174" spans="1:14" s="3" customFormat="1" ht="45">
      <c r="A174" s="9">
        <v>170</v>
      </c>
      <c r="B174" s="10" t="s">
        <v>136</v>
      </c>
      <c r="C174" s="11">
        <v>15</v>
      </c>
      <c r="D174" s="10" t="s">
        <v>31</v>
      </c>
      <c r="E174" s="10" t="s">
        <v>32</v>
      </c>
      <c r="F174" s="10">
        <v>30</v>
      </c>
      <c r="G174" s="10">
        <v>12</v>
      </c>
      <c r="H174" s="10">
        <v>10</v>
      </c>
      <c r="I174" s="10" t="s">
        <v>23</v>
      </c>
      <c r="J174" s="10" t="s">
        <v>12</v>
      </c>
      <c r="K174" s="10" t="s">
        <v>13</v>
      </c>
      <c r="L174" s="10" t="s">
        <v>17</v>
      </c>
      <c r="M174" s="10" t="str">
        <f>HYPERLINK("http://www.stromypodkontrolou.cz/map/tree/eb9fcfc1-f6fa-405f-85c7-690b2fb79ecd/4f228a18-79fd-4577-9015-8330b1c6ee1c")</f>
        <v>http://www.stromypodkontrolou.cz/map/tree/eb9fcfc1-f6fa-405f-85c7-690b2fb79ecd/4f228a18-79fd-4577-9015-8330b1c6ee1c</v>
      </c>
      <c r="N174" s="53"/>
    </row>
    <row r="175" spans="1:207" s="15" customFormat="1" ht="45">
      <c r="A175" s="12">
        <v>171</v>
      </c>
      <c r="B175" s="16" t="s">
        <v>137</v>
      </c>
      <c r="C175" s="14">
        <v>19</v>
      </c>
      <c r="D175" s="16" t="s">
        <v>138</v>
      </c>
      <c r="E175" s="16" t="s">
        <v>139</v>
      </c>
      <c r="F175" s="16">
        <v>24</v>
      </c>
      <c r="G175" s="16">
        <v>14</v>
      </c>
      <c r="H175" s="16">
        <v>3</v>
      </c>
      <c r="I175" s="16" t="s">
        <v>140</v>
      </c>
      <c r="J175" s="16" t="s">
        <v>12</v>
      </c>
      <c r="K175" s="16" t="s">
        <v>13</v>
      </c>
      <c r="L175" s="16" t="s">
        <v>22</v>
      </c>
      <c r="M175" s="16" t="str">
        <f>HYPERLINK("http://www.stromypodkontrolou.cz/map/tree/eb9fcfc1-f6fa-405f-85c7-690b2fb79ecd/0222bc0d-0160-4727-828f-af3a0de50665")</f>
        <v>http://www.stromypodkontrolou.cz/map/tree/eb9fcfc1-f6fa-405f-85c7-690b2fb79ecd/0222bc0d-0160-4727-828f-af3a0de50665</v>
      </c>
      <c r="N175" s="5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</row>
    <row r="176" spans="1:14" s="3" customFormat="1" ht="25.5" customHeight="1">
      <c r="A176" s="9">
        <v>172</v>
      </c>
      <c r="B176" s="10" t="s">
        <v>137</v>
      </c>
      <c r="C176" s="11">
        <v>52</v>
      </c>
      <c r="D176" s="10" t="s">
        <v>9</v>
      </c>
      <c r="E176" s="10" t="s">
        <v>10</v>
      </c>
      <c r="F176" s="10">
        <v>32</v>
      </c>
      <c r="G176" s="10">
        <v>20</v>
      </c>
      <c r="H176" s="10">
        <v>4</v>
      </c>
      <c r="I176" s="10"/>
      <c r="J176" s="10" t="s">
        <v>14</v>
      </c>
      <c r="K176" s="10" t="s">
        <v>15</v>
      </c>
      <c r="L176" s="10"/>
      <c r="M176" s="10" t="str">
        <f>HYPERLINK("http://www.stromypodkontrolou.cz/map/tree/eb9fcfc1-f6fa-405f-85c7-690b2fb79ecd/8ad53724-331b-458c-966d-358a82ac791d")</f>
        <v>http://www.stromypodkontrolou.cz/map/tree/eb9fcfc1-f6fa-405f-85c7-690b2fb79ecd/8ad53724-331b-458c-966d-358a82ac791d</v>
      </c>
      <c r="N176" s="53"/>
    </row>
    <row r="177" spans="1:207" s="15" customFormat="1" ht="22.5">
      <c r="A177" s="12">
        <v>173</v>
      </c>
      <c r="B177" s="46" t="s">
        <v>137</v>
      </c>
      <c r="C177" s="47">
        <v>119</v>
      </c>
      <c r="D177" s="46" t="s">
        <v>27</v>
      </c>
      <c r="E177" s="46" t="s">
        <v>28</v>
      </c>
      <c r="F177" s="46">
        <v>44</v>
      </c>
      <c r="G177" s="46">
        <v>17</v>
      </c>
      <c r="H177" s="46">
        <v>7</v>
      </c>
      <c r="I177" s="46" t="s">
        <v>127</v>
      </c>
      <c r="J177" s="16" t="s">
        <v>19</v>
      </c>
      <c r="K177" s="16" t="s">
        <v>20</v>
      </c>
      <c r="L177" s="16"/>
      <c r="M177" s="46" t="s">
        <v>285</v>
      </c>
      <c r="N177" s="5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</row>
    <row r="178" spans="1:207" s="15" customFormat="1" ht="22.5">
      <c r="A178" s="12">
        <v>174</v>
      </c>
      <c r="B178" s="46"/>
      <c r="C178" s="47"/>
      <c r="D178" s="46"/>
      <c r="E178" s="46"/>
      <c r="F178" s="46"/>
      <c r="G178" s="46"/>
      <c r="H178" s="46"/>
      <c r="I178" s="46"/>
      <c r="J178" s="16" t="s">
        <v>25</v>
      </c>
      <c r="K178" s="16" t="s">
        <v>26</v>
      </c>
      <c r="L178" s="16"/>
      <c r="M178" s="46"/>
      <c r="N178" s="5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</row>
    <row r="179" spans="1:14" s="3" customFormat="1" ht="22.5">
      <c r="A179" s="9">
        <v>175</v>
      </c>
      <c r="B179" s="38" t="s">
        <v>137</v>
      </c>
      <c r="C179" s="41">
        <v>120</v>
      </c>
      <c r="D179" s="38" t="s">
        <v>9</v>
      </c>
      <c r="E179" s="38" t="s">
        <v>10</v>
      </c>
      <c r="F179" s="38">
        <v>33</v>
      </c>
      <c r="G179" s="38">
        <v>15</v>
      </c>
      <c r="H179" s="38">
        <v>9</v>
      </c>
      <c r="I179" s="38" t="s">
        <v>18</v>
      </c>
      <c r="J179" s="10" t="s">
        <v>12</v>
      </c>
      <c r="K179" s="10" t="s">
        <v>13</v>
      </c>
      <c r="L179" s="10" t="s">
        <v>22</v>
      </c>
      <c r="M179" s="38" t="str">
        <f>HYPERLINK("http://www.stromypodkontrolou.cz/map/tree/eb9fcfc1-f6fa-405f-85c7-690b2fb79ecd/3f30bc20-369e-40de-9bf4-a70b6ed56ed9")</f>
        <v>http://www.stromypodkontrolou.cz/map/tree/eb9fcfc1-f6fa-405f-85c7-690b2fb79ecd/3f30bc20-369e-40de-9bf4-a70b6ed56ed9</v>
      </c>
      <c r="N179" s="53"/>
    </row>
    <row r="180" spans="1:14" s="3" customFormat="1" ht="22.5">
      <c r="A180" s="9">
        <v>176</v>
      </c>
      <c r="B180" s="38" t="s">
        <v>137</v>
      </c>
      <c r="C180" s="41">
        <v>120</v>
      </c>
      <c r="D180" s="38" t="s">
        <v>9</v>
      </c>
      <c r="E180" s="38" t="s">
        <v>10</v>
      </c>
      <c r="F180" s="38">
        <v>33</v>
      </c>
      <c r="G180" s="38">
        <v>15</v>
      </c>
      <c r="H180" s="38">
        <v>9</v>
      </c>
      <c r="I180" s="38" t="s">
        <v>18</v>
      </c>
      <c r="J180" s="10" t="s">
        <v>19</v>
      </c>
      <c r="K180" s="10" t="s">
        <v>20</v>
      </c>
      <c r="L180" s="10"/>
      <c r="M180" s="38" t="str">
        <f>HYPERLINK("http://www.stromypodkontrolou.cz/map/tree/eb9fcfc1-f6fa-405f-85c7-690b2fb79ecd/3f30bc20-369e-40de-9bf4-a70b6ed56ed9")</f>
        <v>http://www.stromypodkontrolou.cz/map/tree/eb9fcfc1-f6fa-405f-85c7-690b2fb79ecd/3f30bc20-369e-40de-9bf4-a70b6ed56ed9</v>
      </c>
      <c r="N180" s="53"/>
    </row>
    <row r="181" spans="1:207" s="15" customFormat="1" ht="22.5">
      <c r="A181" s="12">
        <v>177</v>
      </c>
      <c r="B181" s="46" t="s">
        <v>141</v>
      </c>
      <c r="C181" s="47">
        <v>39</v>
      </c>
      <c r="D181" s="46" t="s">
        <v>9</v>
      </c>
      <c r="E181" s="46" t="s">
        <v>10</v>
      </c>
      <c r="F181" s="46">
        <v>35</v>
      </c>
      <c r="G181" s="46">
        <v>10</v>
      </c>
      <c r="H181" s="46">
        <v>8</v>
      </c>
      <c r="I181" s="46" t="s">
        <v>142</v>
      </c>
      <c r="J181" s="16" t="s">
        <v>19</v>
      </c>
      <c r="K181" s="16" t="s">
        <v>20</v>
      </c>
      <c r="L181" s="16"/>
      <c r="M181" s="46" t="str">
        <f>HYPERLINK("http://www.stromypodkontrolou.cz/map/tree/eb9fcfc1-f6fa-405f-85c7-690b2fb79ecd/707816c4-3621-446b-a409-e4999712df5f")</f>
        <v>http://www.stromypodkontrolou.cz/map/tree/eb9fcfc1-f6fa-405f-85c7-690b2fb79ecd/707816c4-3621-446b-a409-e4999712df5f</v>
      </c>
      <c r="N181" s="5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</row>
    <row r="182" spans="1:207" s="15" customFormat="1" ht="25.5" customHeight="1">
      <c r="A182" s="12">
        <v>178</v>
      </c>
      <c r="B182" s="46" t="s">
        <v>141</v>
      </c>
      <c r="C182" s="47">
        <v>39</v>
      </c>
      <c r="D182" s="46" t="s">
        <v>9</v>
      </c>
      <c r="E182" s="46" t="s">
        <v>10</v>
      </c>
      <c r="F182" s="46">
        <v>35</v>
      </c>
      <c r="G182" s="46">
        <v>10</v>
      </c>
      <c r="H182" s="46">
        <v>8</v>
      </c>
      <c r="I182" s="46" t="s">
        <v>142</v>
      </c>
      <c r="J182" s="16" t="s">
        <v>12</v>
      </c>
      <c r="K182" s="16" t="s">
        <v>13</v>
      </c>
      <c r="L182" s="16" t="s">
        <v>17</v>
      </c>
      <c r="M182" s="46" t="str">
        <f>HYPERLINK("http://www.stromypodkontrolou.cz/map/tree/eb9fcfc1-f6fa-405f-85c7-690b2fb79ecd/707816c4-3621-446b-a409-e4999712df5f")</f>
        <v>http://www.stromypodkontrolou.cz/map/tree/eb9fcfc1-f6fa-405f-85c7-690b2fb79ecd/707816c4-3621-446b-a409-e4999712df5f</v>
      </c>
      <c r="N182" s="5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</row>
    <row r="183" spans="1:14" s="3" customFormat="1" ht="45">
      <c r="A183" s="9">
        <v>179</v>
      </c>
      <c r="B183" s="10" t="s">
        <v>143</v>
      </c>
      <c r="C183" s="11">
        <v>21</v>
      </c>
      <c r="D183" s="10" t="s">
        <v>66</v>
      </c>
      <c r="E183" s="10" t="s">
        <v>67</v>
      </c>
      <c r="F183" s="10">
        <v>20</v>
      </c>
      <c r="G183" s="10">
        <v>8</v>
      </c>
      <c r="H183" s="10">
        <v>5</v>
      </c>
      <c r="I183" s="10" t="s">
        <v>144</v>
      </c>
      <c r="J183" s="10" t="s">
        <v>12</v>
      </c>
      <c r="K183" s="10" t="s">
        <v>13</v>
      </c>
      <c r="L183" s="10"/>
      <c r="M183" s="10" t="str">
        <f>HYPERLINK("http://www.stromypodkontrolou.cz/map/tree/eb9fcfc1-f6fa-405f-85c7-690b2fb79ecd/e1eae4d2-9b90-4d74-8873-2dfed4f22c47")</f>
        <v>http://www.stromypodkontrolou.cz/map/tree/eb9fcfc1-f6fa-405f-85c7-690b2fb79ecd/e1eae4d2-9b90-4d74-8873-2dfed4f22c47</v>
      </c>
      <c r="N183" s="53"/>
    </row>
    <row r="184" spans="1:207" s="15" customFormat="1" ht="45">
      <c r="A184" s="12">
        <v>180</v>
      </c>
      <c r="B184" s="16" t="s">
        <v>143</v>
      </c>
      <c r="C184" s="14">
        <v>22</v>
      </c>
      <c r="D184" s="16" t="s">
        <v>66</v>
      </c>
      <c r="E184" s="16" t="s">
        <v>67</v>
      </c>
      <c r="F184" s="16">
        <v>17</v>
      </c>
      <c r="G184" s="16">
        <v>8</v>
      </c>
      <c r="H184" s="16">
        <v>4</v>
      </c>
      <c r="I184" s="16" t="s">
        <v>144</v>
      </c>
      <c r="J184" s="16" t="s">
        <v>12</v>
      </c>
      <c r="K184" s="16" t="s">
        <v>13</v>
      </c>
      <c r="L184" s="16"/>
      <c r="M184" s="16" t="str">
        <f>HYPERLINK("http://www.stromypodkontrolou.cz/map/tree/eb9fcfc1-f6fa-405f-85c7-690b2fb79ecd/38d9b6ac-213d-45c4-826f-8762c4b12e9c")</f>
        <v>http://www.stromypodkontrolou.cz/map/tree/eb9fcfc1-f6fa-405f-85c7-690b2fb79ecd/38d9b6ac-213d-45c4-826f-8762c4b12e9c</v>
      </c>
      <c r="N184" s="5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</row>
    <row r="185" spans="1:14" s="3" customFormat="1" ht="22.5">
      <c r="A185" s="9">
        <v>181</v>
      </c>
      <c r="B185" s="38" t="s">
        <v>143</v>
      </c>
      <c r="C185" s="41">
        <v>26</v>
      </c>
      <c r="D185" s="38" t="s">
        <v>92</v>
      </c>
      <c r="E185" s="38" t="s">
        <v>93</v>
      </c>
      <c r="F185" s="38">
        <v>46</v>
      </c>
      <c r="G185" s="38">
        <v>19</v>
      </c>
      <c r="H185" s="38">
        <v>7</v>
      </c>
      <c r="I185" s="38"/>
      <c r="J185" s="10" t="s">
        <v>25</v>
      </c>
      <c r="K185" s="10" t="s">
        <v>26</v>
      </c>
      <c r="L185" s="10"/>
      <c r="M185" s="38" t="str">
        <f>HYPERLINK("http://www.stromypodkontrolou.cz/map/tree/eb9fcfc1-f6fa-405f-85c7-690b2fb79ecd/05ffb600-b15f-4cd0-afb4-03efa7953e60")</f>
        <v>http://www.stromypodkontrolou.cz/map/tree/eb9fcfc1-f6fa-405f-85c7-690b2fb79ecd/05ffb600-b15f-4cd0-afb4-03efa7953e60</v>
      </c>
      <c r="N185" s="53"/>
    </row>
    <row r="186" spans="1:14" s="3" customFormat="1" ht="22.5">
      <c r="A186" s="9">
        <v>182</v>
      </c>
      <c r="B186" s="38" t="s">
        <v>143</v>
      </c>
      <c r="C186" s="41">
        <v>26</v>
      </c>
      <c r="D186" s="38" t="s">
        <v>92</v>
      </c>
      <c r="E186" s="38" t="s">
        <v>93</v>
      </c>
      <c r="F186" s="38">
        <v>46</v>
      </c>
      <c r="G186" s="38">
        <v>19</v>
      </c>
      <c r="H186" s="38">
        <v>7</v>
      </c>
      <c r="I186" s="38"/>
      <c r="J186" s="10" t="s">
        <v>12</v>
      </c>
      <c r="K186" s="10" t="s">
        <v>13</v>
      </c>
      <c r="L186" s="10" t="s">
        <v>22</v>
      </c>
      <c r="M186" s="38" t="str">
        <f>HYPERLINK("http://www.stromypodkontrolou.cz/map/tree/eb9fcfc1-f6fa-405f-85c7-690b2fb79ecd/05ffb600-b15f-4cd0-afb4-03efa7953e60")</f>
        <v>http://www.stromypodkontrolou.cz/map/tree/eb9fcfc1-f6fa-405f-85c7-690b2fb79ecd/05ffb600-b15f-4cd0-afb4-03efa7953e60</v>
      </c>
      <c r="N186" s="53"/>
    </row>
    <row r="187" spans="1:207" s="15" customFormat="1" ht="12.75">
      <c r="A187" s="12">
        <v>183</v>
      </c>
      <c r="B187" s="46" t="s">
        <v>145</v>
      </c>
      <c r="C187" s="47">
        <v>29</v>
      </c>
      <c r="D187" s="46" t="s">
        <v>9</v>
      </c>
      <c r="E187" s="46" t="s">
        <v>10</v>
      </c>
      <c r="F187" s="46">
        <v>38</v>
      </c>
      <c r="G187" s="46">
        <v>12</v>
      </c>
      <c r="H187" s="46">
        <v>13</v>
      </c>
      <c r="I187" s="46"/>
      <c r="J187" s="16" t="s">
        <v>14</v>
      </c>
      <c r="K187" s="16" t="s">
        <v>15</v>
      </c>
      <c r="L187" s="43"/>
      <c r="M187" s="46" t="str">
        <f>HYPERLINK("http://www.stromypodkontrolou.cz/map/tree/eb9fcfc1-f6fa-405f-85c7-690b2fb79ecd/5504d159-6f21-487a-9ef4-a08353185284")</f>
        <v>http://www.stromypodkontrolou.cz/map/tree/eb9fcfc1-f6fa-405f-85c7-690b2fb79ecd/5504d159-6f21-487a-9ef4-a08353185284</v>
      </c>
      <c r="N187" s="5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</row>
    <row r="188" spans="1:207" s="15" customFormat="1" ht="22.5">
      <c r="A188" s="12">
        <v>184</v>
      </c>
      <c r="B188" s="46" t="s">
        <v>145</v>
      </c>
      <c r="C188" s="47">
        <v>29</v>
      </c>
      <c r="D188" s="46" t="s">
        <v>9</v>
      </c>
      <c r="E188" s="46" t="s">
        <v>10</v>
      </c>
      <c r="F188" s="46">
        <v>38</v>
      </c>
      <c r="G188" s="46">
        <v>12</v>
      </c>
      <c r="H188" s="46">
        <v>13</v>
      </c>
      <c r="I188" s="46"/>
      <c r="J188" s="16" t="s">
        <v>19</v>
      </c>
      <c r="K188" s="16" t="s">
        <v>20</v>
      </c>
      <c r="L188" s="43"/>
      <c r="M188" s="46" t="str">
        <f>HYPERLINK("http://www.stromypodkontrolou.cz/map/tree/eb9fcfc1-f6fa-405f-85c7-690b2fb79ecd/5504d159-6f21-487a-9ef4-a08353185284")</f>
        <v>http://www.stromypodkontrolou.cz/map/tree/eb9fcfc1-f6fa-405f-85c7-690b2fb79ecd/5504d159-6f21-487a-9ef4-a08353185284</v>
      </c>
      <c r="N188" s="5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</row>
    <row r="189" spans="1:14" s="3" customFormat="1" ht="12.75">
      <c r="A189" s="9">
        <v>185</v>
      </c>
      <c r="B189" s="38" t="s">
        <v>145</v>
      </c>
      <c r="C189" s="41">
        <v>31</v>
      </c>
      <c r="D189" s="38" t="s">
        <v>9</v>
      </c>
      <c r="E189" s="38" t="s">
        <v>10</v>
      </c>
      <c r="F189" s="38">
        <v>39</v>
      </c>
      <c r="G189" s="38">
        <v>15</v>
      </c>
      <c r="H189" s="38">
        <v>11</v>
      </c>
      <c r="I189" s="38" t="s">
        <v>23</v>
      </c>
      <c r="J189" s="10" t="s">
        <v>14</v>
      </c>
      <c r="K189" s="10" t="s">
        <v>15</v>
      </c>
      <c r="L189" s="42"/>
      <c r="M189" s="38" t="str">
        <f>HYPERLINK("http://www.stromypodkontrolou.cz/map/tree/eb9fcfc1-f6fa-405f-85c7-690b2fb79ecd/7c4695bd-a18e-4bd0-87d1-d479937f92de")</f>
        <v>http://www.stromypodkontrolou.cz/map/tree/eb9fcfc1-f6fa-405f-85c7-690b2fb79ecd/7c4695bd-a18e-4bd0-87d1-d479937f92de</v>
      </c>
      <c r="N189" s="53"/>
    </row>
    <row r="190" spans="1:14" s="3" customFormat="1" ht="22.5">
      <c r="A190" s="9">
        <v>186</v>
      </c>
      <c r="B190" s="38" t="s">
        <v>145</v>
      </c>
      <c r="C190" s="41">
        <v>31</v>
      </c>
      <c r="D190" s="38" t="s">
        <v>9</v>
      </c>
      <c r="E190" s="38" t="s">
        <v>10</v>
      </c>
      <c r="F190" s="38">
        <v>39</v>
      </c>
      <c r="G190" s="38">
        <v>15</v>
      </c>
      <c r="H190" s="38">
        <v>11</v>
      </c>
      <c r="I190" s="38" t="s">
        <v>23</v>
      </c>
      <c r="J190" s="10" t="s">
        <v>12</v>
      </c>
      <c r="K190" s="10" t="s">
        <v>13</v>
      </c>
      <c r="L190" s="42"/>
      <c r="M190" s="38" t="str">
        <f>HYPERLINK("http://www.stromypodkontrolou.cz/map/tree/eb9fcfc1-f6fa-405f-85c7-690b2fb79ecd/7c4695bd-a18e-4bd0-87d1-d479937f92de")</f>
        <v>http://www.stromypodkontrolou.cz/map/tree/eb9fcfc1-f6fa-405f-85c7-690b2fb79ecd/7c4695bd-a18e-4bd0-87d1-d479937f92de</v>
      </c>
      <c r="N190" s="53"/>
    </row>
    <row r="191" spans="1:207" s="15" customFormat="1" ht="25.5" customHeight="1">
      <c r="A191" s="12">
        <v>187</v>
      </c>
      <c r="B191" s="46" t="s">
        <v>145</v>
      </c>
      <c r="C191" s="47">
        <v>33</v>
      </c>
      <c r="D191" s="46" t="s">
        <v>9</v>
      </c>
      <c r="E191" s="46" t="s">
        <v>10</v>
      </c>
      <c r="F191" s="46">
        <v>33</v>
      </c>
      <c r="G191" s="46">
        <v>12</v>
      </c>
      <c r="H191" s="46">
        <v>8</v>
      </c>
      <c r="I191" s="46" t="s">
        <v>23</v>
      </c>
      <c r="J191" s="16" t="s">
        <v>12</v>
      </c>
      <c r="K191" s="16" t="s">
        <v>13</v>
      </c>
      <c r="L191" s="16" t="s">
        <v>17</v>
      </c>
      <c r="M191" s="46" t="str">
        <f>HYPERLINK("http://www.stromypodkontrolou.cz/map/tree/eb9fcfc1-f6fa-405f-85c7-690b2fb79ecd/c6faa368-4ed5-4aad-ab61-b4629d00e75a")</f>
        <v>http://www.stromypodkontrolou.cz/map/tree/eb9fcfc1-f6fa-405f-85c7-690b2fb79ecd/c6faa368-4ed5-4aad-ab61-b4629d00e75a</v>
      </c>
      <c r="N191" s="5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</row>
    <row r="192" spans="1:207" s="15" customFormat="1" ht="12.75">
      <c r="A192" s="12">
        <v>188</v>
      </c>
      <c r="B192" s="46" t="s">
        <v>145</v>
      </c>
      <c r="C192" s="47">
        <v>33</v>
      </c>
      <c r="D192" s="46" t="s">
        <v>9</v>
      </c>
      <c r="E192" s="46" t="s">
        <v>10</v>
      </c>
      <c r="F192" s="46">
        <v>33</v>
      </c>
      <c r="G192" s="46">
        <v>12</v>
      </c>
      <c r="H192" s="46">
        <v>8</v>
      </c>
      <c r="I192" s="46" t="s">
        <v>23</v>
      </c>
      <c r="J192" s="16" t="s">
        <v>14</v>
      </c>
      <c r="K192" s="16" t="s">
        <v>15</v>
      </c>
      <c r="L192" s="43"/>
      <c r="M192" s="46" t="str">
        <f>HYPERLINK("http://www.stromypodkontrolou.cz/map/tree/eb9fcfc1-f6fa-405f-85c7-690b2fb79ecd/c6faa368-4ed5-4aad-ab61-b4629d00e75a")</f>
        <v>http://www.stromypodkontrolou.cz/map/tree/eb9fcfc1-f6fa-405f-85c7-690b2fb79ecd/c6faa368-4ed5-4aad-ab61-b4629d00e75a</v>
      </c>
      <c r="N192" s="5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</row>
    <row r="193" spans="1:207" s="15" customFormat="1" ht="22.5">
      <c r="A193" s="12">
        <v>189</v>
      </c>
      <c r="B193" s="46" t="s">
        <v>145</v>
      </c>
      <c r="C193" s="47">
        <v>33</v>
      </c>
      <c r="D193" s="46" t="s">
        <v>9</v>
      </c>
      <c r="E193" s="46" t="s">
        <v>10</v>
      </c>
      <c r="F193" s="46">
        <v>33</v>
      </c>
      <c r="G193" s="46">
        <v>12</v>
      </c>
      <c r="H193" s="46">
        <v>8</v>
      </c>
      <c r="I193" s="46" t="s">
        <v>23</v>
      </c>
      <c r="J193" s="16" t="s">
        <v>19</v>
      </c>
      <c r="K193" s="16" t="s">
        <v>20</v>
      </c>
      <c r="L193" s="43"/>
      <c r="M193" s="46" t="str">
        <f>HYPERLINK("http://www.stromypodkontrolou.cz/map/tree/eb9fcfc1-f6fa-405f-85c7-690b2fb79ecd/c6faa368-4ed5-4aad-ab61-b4629d00e75a")</f>
        <v>http://www.stromypodkontrolou.cz/map/tree/eb9fcfc1-f6fa-405f-85c7-690b2fb79ecd/c6faa368-4ed5-4aad-ab61-b4629d00e75a</v>
      </c>
      <c r="N193" s="5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</row>
    <row r="194" spans="1:14" s="3" customFormat="1" ht="22.5">
      <c r="A194" s="9">
        <v>190</v>
      </c>
      <c r="B194" s="38" t="s">
        <v>145</v>
      </c>
      <c r="C194" s="41">
        <v>35</v>
      </c>
      <c r="D194" s="38" t="s">
        <v>9</v>
      </c>
      <c r="E194" s="38" t="s">
        <v>10</v>
      </c>
      <c r="F194" s="38">
        <v>33</v>
      </c>
      <c r="G194" s="38">
        <v>13</v>
      </c>
      <c r="H194" s="38">
        <v>9</v>
      </c>
      <c r="I194" s="38"/>
      <c r="J194" s="10" t="s">
        <v>19</v>
      </c>
      <c r="K194" s="10" t="s">
        <v>20</v>
      </c>
      <c r="L194" s="42"/>
      <c r="M194" s="38" t="str">
        <f>HYPERLINK("http://www.stromypodkontrolou.cz/map/tree/eb9fcfc1-f6fa-405f-85c7-690b2fb79ecd/1a389ccf-7a97-4dfd-b192-9fa919767b11")</f>
        <v>http://www.stromypodkontrolou.cz/map/tree/eb9fcfc1-f6fa-405f-85c7-690b2fb79ecd/1a389ccf-7a97-4dfd-b192-9fa919767b11</v>
      </c>
      <c r="N194" s="53"/>
    </row>
    <row r="195" spans="1:14" s="3" customFormat="1" ht="12.75">
      <c r="A195" s="9">
        <v>191</v>
      </c>
      <c r="B195" s="38" t="s">
        <v>145</v>
      </c>
      <c r="C195" s="41">
        <v>35</v>
      </c>
      <c r="D195" s="38" t="s">
        <v>9</v>
      </c>
      <c r="E195" s="38" t="s">
        <v>10</v>
      </c>
      <c r="F195" s="38">
        <v>33</v>
      </c>
      <c r="G195" s="38">
        <v>13</v>
      </c>
      <c r="H195" s="38">
        <v>9</v>
      </c>
      <c r="I195" s="38"/>
      <c r="J195" s="10" t="s">
        <v>14</v>
      </c>
      <c r="K195" s="10" t="s">
        <v>15</v>
      </c>
      <c r="L195" s="42"/>
      <c r="M195" s="38" t="str">
        <f>HYPERLINK("http://www.stromypodkontrolou.cz/map/tree/eb9fcfc1-f6fa-405f-85c7-690b2fb79ecd/1a389ccf-7a97-4dfd-b192-9fa919767b11")</f>
        <v>http://www.stromypodkontrolou.cz/map/tree/eb9fcfc1-f6fa-405f-85c7-690b2fb79ecd/1a389ccf-7a97-4dfd-b192-9fa919767b11</v>
      </c>
      <c r="N195" s="53"/>
    </row>
    <row r="196" spans="1:207" s="15" customFormat="1" ht="22.5">
      <c r="A196" s="12">
        <v>192</v>
      </c>
      <c r="B196" s="46" t="s">
        <v>145</v>
      </c>
      <c r="C196" s="47">
        <v>39</v>
      </c>
      <c r="D196" s="46" t="s">
        <v>9</v>
      </c>
      <c r="E196" s="46" t="s">
        <v>10</v>
      </c>
      <c r="F196" s="46">
        <v>36</v>
      </c>
      <c r="G196" s="46">
        <v>13</v>
      </c>
      <c r="H196" s="46">
        <v>9</v>
      </c>
      <c r="I196" s="46" t="s">
        <v>63</v>
      </c>
      <c r="J196" s="16" t="s">
        <v>12</v>
      </c>
      <c r="K196" s="16" t="s">
        <v>13</v>
      </c>
      <c r="L196" s="16" t="s">
        <v>22</v>
      </c>
      <c r="M196" s="46" t="str">
        <f>HYPERLINK("http://www.stromypodkontrolou.cz/map/tree/eb9fcfc1-f6fa-405f-85c7-690b2fb79ecd/2d611465-9f87-4004-96bf-8e38e780a988")</f>
        <v>http://www.stromypodkontrolou.cz/map/tree/eb9fcfc1-f6fa-405f-85c7-690b2fb79ecd/2d611465-9f87-4004-96bf-8e38e780a988</v>
      </c>
      <c r="N196" s="5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</row>
    <row r="197" spans="1:207" s="15" customFormat="1" ht="22.5">
      <c r="A197" s="12">
        <v>193</v>
      </c>
      <c r="B197" s="46" t="s">
        <v>145</v>
      </c>
      <c r="C197" s="47">
        <v>39</v>
      </c>
      <c r="D197" s="46" t="s">
        <v>9</v>
      </c>
      <c r="E197" s="46" t="s">
        <v>10</v>
      </c>
      <c r="F197" s="46">
        <v>36</v>
      </c>
      <c r="G197" s="46">
        <v>13</v>
      </c>
      <c r="H197" s="46">
        <v>9</v>
      </c>
      <c r="I197" s="46" t="s">
        <v>63</v>
      </c>
      <c r="J197" s="16" t="s">
        <v>19</v>
      </c>
      <c r="K197" s="16" t="s">
        <v>20</v>
      </c>
      <c r="L197" s="16"/>
      <c r="M197" s="46" t="str">
        <f>HYPERLINK("http://www.stromypodkontrolou.cz/map/tree/eb9fcfc1-f6fa-405f-85c7-690b2fb79ecd/2d611465-9f87-4004-96bf-8e38e780a988")</f>
        <v>http://www.stromypodkontrolou.cz/map/tree/eb9fcfc1-f6fa-405f-85c7-690b2fb79ecd/2d611465-9f87-4004-96bf-8e38e780a988</v>
      </c>
      <c r="N197" s="5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</row>
    <row r="198" spans="1:14" s="3" customFormat="1" ht="45">
      <c r="A198" s="9">
        <v>194</v>
      </c>
      <c r="B198" s="10" t="s">
        <v>145</v>
      </c>
      <c r="C198" s="11">
        <v>90</v>
      </c>
      <c r="D198" s="10" t="s">
        <v>146</v>
      </c>
      <c r="E198" s="10" t="s">
        <v>147</v>
      </c>
      <c r="F198" s="10">
        <v>5</v>
      </c>
      <c r="G198" s="10">
        <v>4</v>
      </c>
      <c r="H198" s="10">
        <v>1</v>
      </c>
      <c r="I198" s="10" t="s">
        <v>148</v>
      </c>
      <c r="J198" s="10" t="s">
        <v>149</v>
      </c>
      <c r="K198" s="10" t="s">
        <v>55</v>
      </c>
      <c r="L198" s="10"/>
      <c r="M198" s="10" t="str">
        <f>HYPERLINK("http://www.stromypodkontrolou.cz/map/tree/eb9fcfc1-f6fa-405f-85c7-690b2fb79ecd/731a5ece-378c-40d6-8054-46d13fa556b2")</f>
        <v>http://www.stromypodkontrolou.cz/map/tree/eb9fcfc1-f6fa-405f-85c7-690b2fb79ecd/731a5ece-378c-40d6-8054-46d13fa556b2</v>
      </c>
      <c r="N198" s="53"/>
    </row>
    <row r="199" spans="1:207" s="15" customFormat="1" ht="22.5">
      <c r="A199" s="12">
        <v>195</v>
      </c>
      <c r="B199" s="46" t="s">
        <v>151</v>
      </c>
      <c r="C199" s="47">
        <v>13</v>
      </c>
      <c r="D199" s="46" t="s">
        <v>31</v>
      </c>
      <c r="E199" s="46" t="s">
        <v>32</v>
      </c>
      <c r="F199" s="46">
        <v>35</v>
      </c>
      <c r="G199" s="46">
        <v>17</v>
      </c>
      <c r="H199" s="46">
        <v>7</v>
      </c>
      <c r="I199" s="46" t="s">
        <v>152</v>
      </c>
      <c r="J199" s="16" t="s">
        <v>19</v>
      </c>
      <c r="K199" s="16" t="s">
        <v>20</v>
      </c>
      <c r="L199" s="43"/>
      <c r="M199" s="46" t="str">
        <f>HYPERLINK("http://www.stromypodkontrolou.cz/map/tree/eb9fcfc1-f6fa-405f-85c7-690b2fb79ecd/6ec38c20-aef1-48a4-98de-0daf7480c8de")</f>
        <v>http://www.stromypodkontrolou.cz/map/tree/eb9fcfc1-f6fa-405f-85c7-690b2fb79ecd/6ec38c20-aef1-48a4-98de-0daf7480c8de</v>
      </c>
      <c r="N199" s="5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</row>
    <row r="200" spans="1:207" s="15" customFormat="1" ht="22.5">
      <c r="A200" s="12">
        <v>196</v>
      </c>
      <c r="B200" s="46" t="s">
        <v>151</v>
      </c>
      <c r="C200" s="47">
        <v>13</v>
      </c>
      <c r="D200" s="46" t="s">
        <v>31</v>
      </c>
      <c r="E200" s="46" t="s">
        <v>32</v>
      </c>
      <c r="F200" s="46">
        <v>35</v>
      </c>
      <c r="G200" s="46">
        <v>17</v>
      </c>
      <c r="H200" s="46">
        <v>7</v>
      </c>
      <c r="I200" s="46" t="s">
        <v>152</v>
      </c>
      <c r="J200" s="16" t="s">
        <v>12</v>
      </c>
      <c r="K200" s="16" t="s">
        <v>13</v>
      </c>
      <c r="L200" s="43"/>
      <c r="M200" s="46" t="str">
        <f>HYPERLINK("http://www.stromypodkontrolou.cz/map/tree/eb9fcfc1-f6fa-405f-85c7-690b2fb79ecd/6ec38c20-aef1-48a4-98de-0daf7480c8de")</f>
        <v>http://www.stromypodkontrolou.cz/map/tree/eb9fcfc1-f6fa-405f-85c7-690b2fb79ecd/6ec38c20-aef1-48a4-98de-0daf7480c8de</v>
      </c>
      <c r="N200" s="5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</row>
    <row r="201" spans="1:207" s="15" customFormat="1" ht="14.25" customHeight="1">
      <c r="A201" s="12">
        <v>197</v>
      </c>
      <c r="B201" s="46" t="s">
        <v>151</v>
      </c>
      <c r="C201" s="47">
        <v>13</v>
      </c>
      <c r="D201" s="46" t="s">
        <v>31</v>
      </c>
      <c r="E201" s="46" t="s">
        <v>32</v>
      </c>
      <c r="F201" s="46">
        <v>35</v>
      </c>
      <c r="G201" s="46">
        <v>17</v>
      </c>
      <c r="H201" s="46">
        <v>7</v>
      </c>
      <c r="I201" s="46" t="s">
        <v>152</v>
      </c>
      <c r="J201" s="16" t="s">
        <v>14</v>
      </c>
      <c r="K201" s="16" t="s">
        <v>15</v>
      </c>
      <c r="L201" s="43"/>
      <c r="M201" s="46" t="str">
        <f>HYPERLINK("http://www.stromypodkontrolou.cz/map/tree/eb9fcfc1-f6fa-405f-85c7-690b2fb79ecd/6ec38c20-aef1-48a4-98de-0daf7480c8de")</f>
        <v>http://www.stromypodkontrolou.cz/map/tree/eb9fcfc1-f6fa-405f-85c7-690b2fb79ecd/6ec38c20-aef1-48a4-98de-0daf7480c8de</v>
      </c>
      <c r="N201" s="5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</row>
    <row r="202" spans="1:14" s="3" customFormat="1" ht="12.75">
      <c r="A202" s="9">
        <v>198</v>
      </c>
      <c r="B202" s="38" t="s">
        <v>151</v>
      </c>
      <c r="C202" s="41">
        <v>15</v>
      </c>
      <c r="D202" s="38" t="s">
        <v>31</v>
      </c>
      <c r="E202" s="38" t="s">
        <v>32</v>
      </c>
      <c r="F202" s="38">
        <v>39</v>
      </c>
      <c r="G202" s="38">
        <v>19</v>
      </c>
      <c r="H202" s="38">
        <v>6</v>
      </c>
      <c r="I202" s="38" t="s">
        <v>152</v>
      </c>
      <c r="J202" s="10" t="s">
        <v>14</v>
      </c>
      <c r="K202" s="10" t="s">
        <v>15</v>
      </c>
      <c r="L202" s="42"/>
      <c r="M202" s="38" t="str">
        <f>HYPERLINK("http://www.stromypodkontrolou.cz/map/tree/eb9fcfc1-f6fa-405f-85c7-690b2fb79ecd/796bec58-b3f9-4641-a952-f10c0a59b33e")</f>
        <v>http://www.stromypodkontrolou.cz/map/tree/eb9fcfc1-f6fa-405f-85c7-690b2fb79ecd/796bec58-b3f9-4641-a952-f10c0a59b33e</v>
      </c>
      <c r="N202" s="53"/>
    </row>
    <row r="203" spans="1:14" s="3" customFormat="1" ht="22.5">
      <c r="A203" s="9">
        <v>199</v>
      </c>
      <c r="B203" s="38" t="s">
        <v>151</v>
      </c>
      <c r="C203" s="41">
        <v>15</v>
      </c>
      <c r="D203" s="38" t="s">
        <v>31</v>
      </c>
      <c r="E203" s="38" t="s">
        <v>32</v>
      </c>
      <c r="F203" s="38">
        <v>39</v>
      </c>
      <c r="G203" s="38">
        <v>19</v>
      </c>
      <c r="H203" s="38">
        <v>6</v>
      </c>
      <c r="I203" s="38" t="s">
        <v>152</v>
      </c>
      <c r="J203" s="10" t="s">
        <v>12</v>
      </c>
      <c r="K203" s="10" t="s">
        <v>13</v>
      </c>
      <c r="L203" s="42"/>
      <c r="M203" s="38" t="str">
        <f>HYPERLINK("http://www.stromypodkontrolou.cz/map/tree/eb9fcfc1-f6fa-405f-85c7-690b2fb79ecd/796bec58-b3f9-4641-a952-f10c0a59b33e")</f>
        <v>http://www.stromypodkontrolou.cz/map/tree/eb9fcfc1-f6fa-405f-85c7-690b2fb79ecd/796bec58-b3f9-4641-a952-f10c0a59b33e</v>
      </c>
      <c r="N203" s="53"/>
    </row>
    <row r="204" spans="1:14" s="3" customFormat="1" ht="22.5">
      <c r="A204" s="9">
        <v>200</v>
      </c>
      <c r="B204" s="38" t="s">
        <v>151</v>
      </c>
      <c r="C204" s="41">
        <v>15</v>
      </c>
      <c r="D204" s="38" t="s">
        <v>31</v>
      </c>
      <c r="E204" s="38" t="s">
        <v>32</v>
      </c>
      <c r="F204" s="38">
        <v>39</v>
      </c>
      <c r="G204" s="38">
        <v>19</v>
      </c>
      <c r="H204" s="38">
        <v>6</v>
      </c>
      <c r="I204" s="38" t="s">
        <v>152</v>
      </c>
      <c r="J204" s="10" t="s">
        <v>19</v>
      </c>
      <c r="K204" s="10" t="s">
        <v>20</v>
      </c>
      <c r="L204" s="42"/>
      <c r="M204" s="38" t="str">
        <f>HYPERLINK("http://www.stromypodkontrolou.cz/map/tree/eb9fcfc1-f6fa-405f-85c7-690b2fb79ecd/796bec58-b3f9-4641-a952-f10c0a59b33e")</f>
        <v>http://www.stromypodkontrolou.cz/map/tree/eb9fcfc1-f6fa-405f-85c7-690b2fb79ecd/796bec58-b3f9-4641-a952-f10c0a59b33e</v>
      </c>
      <c r="N204" s="53"/>
    </row>
    <row r="205" spans="1:207" s="15" customFormat="1" ht="45">
      <c r="A205" s="12">
        <v>201</v>
      </c>
      <c r="B205" s="16" t="s">
        <v>151</v>
      </c>
      <c r="C205" s="14">
        <v>22</v>
      </c>
      <c r="D205" s="16" t="s">
        <v>9</v>
      </c>
      <c r="E205" s="16" t="s">
        <v>10</v>
      </c>
      <c r="F205" s="16">
        <v>28</v>
      </c>
      <c r="G205" s="16">
        <v>16</v>
      </c>
      <c r="H205" s="16">
        <v>3</v>
      </c>
      <c r="I205" s="16" t="s">
        <v>153</v>
      </c>
      <c r="J205" s="16" t="s">
        <v>14</v>
      </c>
      <c r="K205" s="16" t="s">
        <v>15</v>
      </c>
      <c r="L205" s="16" t="s">
        <v>17</v>
      </c>
      <c r="M205" s="16" t="str">
        <f>HYPERLINK("http://www.stromypodkontrolou.cz/map/tree/eb9fcfc1-f6fa-405f-85c7-690b2fb79ecd/124d1020-b273-4dee-8f37-23cec2781275")</f>
        <v>http://www.stromypodkontrolou.cz/map/tree/eb9fcfc1-f6fa-405f-85c7-690b2fb79ecd/124d1020-b273-4dee-8f37-23cec2781275</v>
      </c>
      <c r="N205" s="5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</row>
    <row r="206" spans="1:14" s="3" customFormat="1" ht="12.75">
      <c r="A206" s="9">
        <v>202</v>
      </c>
      <c r="B206" s="38" t="s">
        <v>151</v>
      </c>
      <c r="C206" s="41">
        <v>23</v>
      </c>
      <c r="D206" s="38" t="s">
        <v>71</v>
      </c>
      <c r="E206" s="38" t="s">
        <v>72</v>
      </c>
      <c r="F206" s="38">
        <v>65</v>
      </c>
      <c r="G206" s="38">
        <v>15</v>
      </c>
      <c r="H206" s="38">
        <v>11</v>
      </c>
      <c r="I206" s="38" t="s">
        <v>154</v>
      </c>
      <c r="J206" s="10" t="s">
        <v>14</v>
      </c>
      <c r="K206" s="10" t="s">
        <v>15</v>
      </c>
      <c r="L206" s="42"/>
      <c r="M206" s="38" t="str">
        <f>HYPERLINK("http://www.stromypodkontrolou.cz/map/tree/eb9fcfc1-f6fa-405f-85c7-690b2fb79ecd/1c72fed4-d0cf-47c3-92fa-4f129701959c")</f>
        <v>http://www.stromypodkontrolou.cz/map/tree/eb9fcfc1-f6fa-405f-85c7-690b2fb79ecd/1c72fed4-d0cf-47c3-92fa-4f129701959c</v>
      </c>
      <c r="N206" s="53"/>
    </row>
    <row r="207" spans="1:14" s="3" customFormat="1" ht="32.25" customHeight="1">
      <c r="A207" s="9">
        <v>203</v>
      </c>
      <c r="B207" s="38" t="s">
        <v>151</v>
      </c>
      <c r="C207" s="41">
        <v>23</v>
      </c>
      <c r="D207" s="38" t="s">
        <v>71</v>
      </c>
      <c r="E207" s="38" t="s">
        <v>72</v>
      </c>
      <c r="F207" s="38">
        <v>65</v>
      </c>
      <c r="G207" s="38">
        <v>15</v>
      </c>
      <c r="H207" s="38">
        <v>11</v>
      </c>
      <c r="I207" s="38" t="s">
        <v>154</v>
      </c>
      <c r="J207" s="10" t="s">
        <v>12</v>
      </c>
      <c r="K207" s="10" t="s">
        <v>13</v>
      </c>
      <c r="L207" s="42"/>
      <c r="M207" s="38" t="str">
        <f>HYPERLINK("http://www.stromypodkontrolou.cz/map/tree/eb9fcfc1-f6fa-405f-85c7-690b2fb79ecd/1c72fed4-d0cf-47c3-92fa-4f129701959c")</f>
        <v>http://www.stromypodkontrolou.cz/map/tree/eb9fcfc1-f6fa-405f-85c7-690b2fb79ecd/1c72fed4-d0cf-47c3-92fa-4f129701959c</v>
      </c>
      <c r="N207" s="53"/>
    </row>
    <row r="208" spans="1:207" s="15" customFormat="1" ht="12.75">
      <c r="A208" s="12">
        <v>204</v>
      </c>
      <c r="B208" s="46" t="s">
        <v>151</v>
      </c>
      <c r="C208" s="47">
        <v>24</v>
      </c>
      <c r="D208" s="46" t="s">
        <v>9</v>
      </c>
      <c r="E208" s="46" t="s">
        <v>10</v>
      </c>
      <c r="F208" s="46">
        <v>29</v>
      </c>
      <c r="G208" s="46">
        <v>16</v>
      </c>
      <c r="H208" s="46">
        <v>3</v>
      </c>
      <c r="I208" s="46" t="s">
        <v>155</v>
      </c>
      <c r="J208" s="16" t="s">
        <v>14</v>
      </c>
      <c r="K208" s="16" t="s">
        <v>15</v>
      </c>
      <c r="L208" s="43"/>
      <c r="M208" s="46" t="str">
        <f>HYPERLINK("http://www.stromypodkontrolou.cz/map/tree/eb9fcfc1-f6fa-405f-85c7-690b2fb79ecd/c4ad54c8-91d9-4d44-b22e-747172ea55b5")</f>
        <v>http://www.stromypodkontrolou.cz/map/tree/eb9fcfc1-f6fa-405f-85c7-690b2fb79ecd/c4ad54c8-91d9-4d44-b22e-747172ea55b5</v>
      </c>
      <c r="N208" s="5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</row>
    <row r="209" spans="1:207" s="15" customFormat="1" ht="48.75" customHeight="1">
      <c r="A209" s="12">
        <v>205</v>
      </c>
      <c r="B209" s="46" t="s">
        <v>151</v>
      </c>
      <c r="C209" s="47">
        <v>24</v>
      </c>
      <c r="D209" s="46" t="s">
        <v>9</v>
      </c>
      <c r="E209" s="46" t="s">
        <v>10</v>
      </c>
      <c r="F209" s="46">
        <v>29</v>
      </c>
      <c r="G209" s="46">
        <v>16</v>
      </c>
      <c r="H209" s="46">
        <v>3</v>
      </c>
      <c r="I209" s="46" t="s">
        <v>155</v>
      </c>
      <c r="J209" s="16" t="s">
        <v>12</v>
      </c>
      <c r="K209" s="16" t="s">
        <v>13</v>
      </c>
      <c r="L209" s="43"/>
      <c r="M209" s="46" t="str">
        <f>HYPERLINK("http://www.stromypodkontrolou.cz/map/tree/eb9fcfc1-f6fa-405f-85c7-690b2fb79ecd/c4ad54c8-91d9-4d44-b22e-747172ea55b5")</f>
        <v>http://www.stromypodkontrolou.cz/map/tree/eb9fcfc1-f6fa-405f-85c7-690b2fb79ecd/c4ad54c8-91d9-4d44-b22e-747172ea55b5</v>
      </c>
      <c r="N209" s="5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</row>
    <row r="210" spans="1:14" s="3" customFormat="1" ht="12.75">
      <c r="A210" s="9">
        <v>206</v>
      </c>
      <c r="B210" s="38" t="s">
        <v>151</v>
      </c>
      <c r="C210" s="41">
        <v>25</v>
      </c>
      <c r="D210" s="38" t="s">
        <v>9</v>
      </c>
      <c r="E210" s="38" t="s">
        <v>10</v>
      </c>
      <c r="F210" s="38">
        <v>28</v>
      </c>
      <c r="G210" s="38">
        <v>15</v>
      </c>
      <c r="H210" s="38">
        <v>4</v>
      </c>
      <c r="I210" s="38" t="s">
        <v>103</v>
      </c>
      <c r="J210" s="10" t="s">
        <v>14</v>
      </c>
      <c r="K210" s="10" t="s">
        <v>15</v>
      </c>
      <c r="L210" s="42"/>
      <c r="M210" s="38" t="str">
        <f>HYPERLINK("http://www.stromypodkontrolou.cz/map/tree/eb9fcfc1-f6fa-405f-85c7-690b2fb79ecd/bdca5678-2c65-4799-b6e6-91ea5a75568d")</f>
        <v>http://www.stromypodkontrolou.cz/map/tree/eb9fcfc1-f6fa-405f-85c7-690b2fb79ecd/bdca5678-2c65-4799-b6e6-91ea5a75568d</v>
      </c>
      <c r="N210" s="53"/>
    </row>
    <row r="211" spans="1:14" s="3" customFormat="1" ht="22.5">
      <c r="A211" s="9">
        <v>207</v>
      </c>
      <c r="B211" s="38" t="s">
        <v>151</v>
      </c>
      <c r="C211" s="41">
        <v>25</v>
      </c>
      <c r="D211" s="38" t="s">
        <v>9</v>
      </c>
      <c r="E211" s="38" t="s">
        <v>10</v>
      </c>
      <c r="F211" s="38">
        <v>28</v>
      </c>
      <c r="G211" s="38">
        <v>15</v>
      </c>
      <c r="H211" s="38">
        <v>4</v>
      </c>
      <c r="I211" s="38" t="s">
        <v>103</v>
      </c>
      <c r="J211" s="10" t="s">
        <v>12</v>
      </c>
      <c r="K211" s="10" t="s">
        <v>13</v>
      </c>
      <c r="L211" s="42"/>
      <c r="M211" s="38" t="str">
        <f>HYPERLINK("http://www.stromypodkontrolou.cz/map/tree/eb9fcfc1-f6fa-405f-85c7-690b2fb79ecd/bdca5678-2c65-4799-b6e6-91ea5a75568d")</f>
        <v>http://www.stromypodkontrolou.cz/map/tree/eb9fcfc1-f6fa-405f-85c7-690b2fb79ecd/bdca5678-2c65-4799-b6e6-91ea5a75568d</v>
      </c>
      <c r="N211" s="53"/>
    </row>
    <row r="212" spans="1:207" s="15" customFormat="1" ht="22.5">
      <c r="A212" s="12">
        <v>208</v>
      </c>
      <c r="B212" s="46" t="s">
        <v>159</v>
      </c>
      <c r="C212" s="47">
        <v>88</v>
      </c>
      <c r="D212" s="46" t="s">
        <v>9</v>
      </c>
      <c r="E212" s="46" t="s">
        <v>10</v>
      </c>
      <c r="F212" s="46">
        <v>52</v>
      </c>
      <c r="G212" s="46">
        <v>19</v>
      </c>
      <c r="H212" s="46">
        <v>10</v>
      </c>
      <c r="I212" s="46" t="s">
        <v>29</v>
      </c>
      <c r="J212" s="16" t="s">
        <v>12</v>
      </c>
      <c r="K212" s="16" t="s">
        <v>13</v>
      </c>
      <c r="L212" s="43"/>
      <c r="M212" s="46" t="s">
        <v>298</v>
      </c>
      <c r="N212" s="5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</row>
    <row r="213" spans="1:207" s="15" customFormat="1" ht="12.75">
      <c r="A213" s="12">
        <v>209</v>
      </c>
      <c r="B213" s="46"/>
      <c r="C213" s="47"/>
      <c r="D213" s="46"/>
      <c r="E213" s="46"/>
      <c r="F213" s="46"/>
      <c r="G213" s="46"/>
      <c r="H213" s="46"/>
      <c r="I213" s="46"/>
      <c r="J213" s="16" t="s">
        <v>14</v>
      </c>
      <c r="K213" s="16" t="s">
        <v>15</v>
      </c>
      <c r="L213" s="43"/>
      <c r="M213" s="46"/>
      <c r="N213" s="5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</row>
    <row r="214" spans="1:207" s="15" customFormat="1" ht="22.5">
      <c r="A214" s="12">
        <v>210</v>
      </c>
      <c r="B214" s="46"/>
      <c r="C214" s="47"/>
      <c r="D214" s="46"/>
      <c r="E214" s="46"/>
      <c r="F214" s="46"/>
      <c r="G214" s="46"/>
      <c r="H214" s="46"/>
      <c r="I214" s="46"/>
      <c r="J214" s="16" t="s">
        <v>296</v>
      </c>
      <c r="K214" s="16" t="s">
        <v>297</v>
      </c>
      <c r="L214" s="43"/>
      <c r="M214" s="46"/>
      <c r="N214" s="5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</row>
    <row r="215" spans="1:14" s="3" customFormat="1" ht="22.5">
      <c r="A215" s="9">
        <v>211</v>
      </c>
      <c r="B215" s="38" t="s">
        <v>159</v>
      </c>
      <c r="C215" s="41">
        <v>93</v>
      </c>
      <c r="D215" s="38" t="s">
        <v>58</v>
      </c>
      <c r="E215" s="38" t="s">
        <v>59</v>
      </c>
      <c r="F215" s="38">
        <v>53</v>
      </c>
      <c r="G215" s="38">
        <v>15</v>
      </c>
      <c r="H215" s="38">
        <v>9</v>
      </c>
      <c r="I215" s="38" t="s">
        <v>160</v>
      </c>
      <c r="J215" s="10" t="s">
        <v>12</v>
      </c>
      <c r="K215" s="10" t="s">
        <v>13</v>
      </c>
      <c r="L215" s="10" t="s">
        <v>22</v>
      </c>
      <c r="M215" s="38" t="str">
        <f>HYPERLINK("http://www.stromypodkontrolou.cz/map/tree/eb9fcfc1-f6fa-405f-85c7-690b2fb79ecd/fc29972b-66b3-4698-8a7c-beecb20f9eed")</f>
        <v>http://www.stromypodkontrolou.cz/map/tree/eb9fcfc1-f6fa-405f-85c7-690b2fb79ecd/fc29972b-66b3-4698-8a7c-beecb20f9eed</v>
      </c>
      <c r="N215" s="53"/>
    </row>
    <row r="216" spans="1:14" s="3" customFormat="1" ht="12.75">
      <c r="A216" s="9">
        <v>212</v>
      </c>
      <c r="B216" s="38" t="s">
        <v>159</v>
      </c>
      <c r="C216" s="41">
        <v>93</v>
      </c>
      <c r="D216" s="38" t="s">
        <v>58</v>
      </c>
      <c r="E216" s="38" t="s">
        <v>59</v>
      </c>
      <c r="F216" s="38">
        <v>53</v>
      </c>
      <c r="G216" s="38">
        <v>15</v>
      </c>
      <c r="H216" s="38">
        <v>9</v>
      </c>
      <c r="I216" s="38" t="s">
        <v>160</v>
      </c>
      <c r="J216" s="10" t="s">
        <v>14</v>
      </c>
      <c r="K216" s="10" t="s">
        <v>15</v>
      </c>
      <c r="L216" s="10"/>
      <c r="M216" s="38" t="str">
        <f>HYPERLINK("http://www.stromypodkontrolou.cz/map/tree/eb9fcfc1-f6fa-405f-85c7-690b2fb79ecd/fc29972b-66b3-4698-8a7c-beecb20f9eed")</f>
        <v>http://www.stromypodkontrolou.cz/map/tree/eb9fcfc1-f6fa-405f-85c7-690b2fb79ecd/fc29972b-66b3-4698-8a7c-beecb20f9eed</v>
      </c>
      <c r="N216" s="53"/>
    </row>
    <row r="217" spans="1:207" s="15" customFormat="1" ht="45">
      <c r="A217" s="12">
        <v>213</v>
      </c>
      <c r="B217" s="16" t="s">
        <v>164</v>
      </c>
      <c r="C217" s="14">
        <v>1</v>
      </c>
      <c r="D217" s="16" t="s">
        <v>71</v>
      </c>
      <c r="E217" s="16" t="s">
        <v>72</v>
      </c>
      <c r="F217" s="16">
        <v>57</v>
      </c>
      <c r="G217" s="16">
        <v>16</v>
      </c>
      <c r="H217" s="16">
        <v>11</v>
      </c>
      <c r="I217" s="16" t="s">
        <v>165</v>
      </c>
      <c r="J217" s="16" t="s">
        <v>14</v>
      </c>
      <c r="K217" s="16" t="s">
        <v>15</v>
      </c>
      <c r="L217" s="16"/>
      <c r="M217" s="16" t="str">
        <f>HYPERLINK("http://www.stromypodkontrolou.cz/map/tree/eb9fcfc1-f6fa-405f-85c7-690b2fb79ecd/a169bc65-9a80-481a-b00a-30e40bbac0ee")</f>
        <v>http://www.stromypodkontrolou.cz/map/tree/eb9fcfc1-f6fa-405f-85c7-690b2fb79ecd/a169bc65-9a80-481a-b00a-30e40bbac0ee</v>
      </c>
      <c r="N217" s="5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</row>
    <row r="218" spans="1:14" s="3" customFormat="1" ht="12.75">
      <c r="A218" s="9">
        <v>214</v>
      </c>
      <c r="B218" s="38" t="s">
        <v>166</v>
      </c>
      <c r="C218" s="41">
        <v>19</v>
      </c>
      <c r="D218" s="38" t="s">
        <v>9</v>
      </c>
      <c r="E218" s="38" t="s">
        <v>10</v>
      </c>
      <c r="F218" s="38">
        <v>33</v>
      </c>
      <c r="G218" s="38">
        <v>11</v>
      </c>
      <c r="H218" s="38">
        <v>8</v>
      </c>
      <c r="I218" s="38" t="s">
        <v>29</v>
      </c>
      <c r="J218" s="10" t="s">
        <v>14</v>
      </c>
      <c r="K218" s="10" t="s">
        <v>15</v>
      </c>
      <c r="L218" s="42"/>
      <c r="M218" s="38" t="str">
        <f>HYPERLINK("http://www.stromypodkontrolou.cz/map/tree/eb9fcfc1-f6fa-405f-85c7-690b2fb79ecd/47532a82-18fe-4825-88b2-08b34329a7d2")</f>
        <v>http://www.stromypodkontrolou.cz/map/tree/eb9fcfc1-f6fa-405f-85c7-690b2fb79ecd/47532a82-18fe-4825-88b2-08b34329a7d2</v>
      </c>
      <c r="N218" s="53"/>
    </row>
    <row r="219" spans="1:14" s="3" customFormat="1" ht="22.5">
      <c r="A219" s="9">
        <v>215</v>
      </c>
      <c r="B219" s="38" t="s">
        <v>166</v>
      </c>
      <c r="C219" s="41">
        <v>19</v>
      </c>
      <c r="D219" s="38" t="s">
        <v>9</v>
      </c>
      <c r="E219" s="38" t="s">
        <v>10</v>
      </c>
      <c r="F219" s="38">
        <v>33</v>
      </c>
      <c r="G219" s="38">
        <v>11</v>
      </c>
      <c r="H219" s="38">
        <v>8</v>
      </c>
      <c r="I219" s="38" t="s">
        <v>29</v>
      </c>
      <c r="J219" s="10" t="s">
        <v>19</v>
      </c>
      <c r="K219" s="10" t="s">
        <v>20</v>
      </c>
      <c r="L219" s="42"/>
      <c r="M219" s="38" t="str">
        <f>HYPERLINK("http://www.stromypodkontrolou.cz/map/tree/eb9fcfc1-f6fa-405f-85c7-690b2fb79ecd/47532a82-18fe-4825-88b2-08b34329a7d2")</f>
        <v>http://www.stromypodkontrolou.cz/map/tree/eb9fcfc1-f6fa-405f-85c7-690b2fb79ecd/47532a82-18fe-4825-88b2-08b34329a7d2</v>
      </c>
      <c r="N219" s="53"/>
    </row>
    <row r="220" spans="1:14" s="3" customFormat="1" ht="25.5" customHeight="1">
      <c r="A220" s="9">
        <v>216</v>
      </c>
      <c r="B220" s="38" t="s">
        <v>166</v>
      </c>
      <c r="C220" s="41">
        <v>19</v>
      </c>
      <c r="D220" s="38" t="s">
        <v>9</v>
      </c>
      <c r="E220" s="38" t="s">
        <v>10</v>
      </c>
      <c r="F220" s="38">
        <v>33</v>
      </c>
      <c r="G220" s="38">
        <v>11</v>
      </c>
      <c r="H220" s="38">
        <v>8</v>
      </c>
      <c r="I220" s="38" t="s">
        <v>29</v>
      </c>
      <c r="J220" s="10" t="s">
        <v>12</v>
      </c>
      <c r="K220" s="10" t="s">
        <v>13</v>
      </c>
      <c r="L220" s="10" t="s">
        <v>17</v>
      </c>
      <c r="M220" s="38" t="str">
        <f>HYPERLINK("http://www.stromypodkontrolou.cz/map/tree/eb9fcfc1-f6fa-405f-85c7-690b2fb79ecd/47532a82-18fe-4825-88b2-08b34329a7d2")</f>
        <v>http://www.stromypodkontrolou.cz/map/tree/eb9fcfc1-f6fa-405f-85c7-690b2fb79ecd/47532a82-18fe-4825-88b2-08b34329a7d2</v>
      </c>
      <c r="N220" s="53"/>
    </row>
    <row r="221" spans="1:207" s="15" customFormat="1" ht="45">
      <c r="A221" s="12">
        <v>217</v>
      </c>
      <c r="B221" s="16" t="s">
        <v>166</v>
      </c>
      <c r="C221" s="14">
        <v>41</v>
      </c>
      <c r="D221" s="16" t="s">
        <v>161</v>
      </c>
      <c r="E221" s="16" t="s">
        <v>162</v>
      </c>
      <c r="F221" s="16">
        <v>40</v>
      </c>
      <c r="G221" s="16">
        <v>16</v>
      </c>
      <c r="H221" s="16">
        <v>9</v>
      </c>
      <c r="I221" s="16"/>
      <c r="J221" s="16" t="s">
        <v>19</v>
      </c>
      <c r="K221" s="16" t="s">
        <v>20</v>
      </c>
      <c r="L221" s="16"/>
      <c r="M221" s="16" t="str">
        <f>HYPERLINK("http://www.stromypodkontrolou.cz/map/tree/eb9fcfc1-f6fa-405f-85c7-690b2fb79ecd/23f84aee-ce36-4eb2-b8d4-20f269e794fe")</f>
        <v>http://www.stromypodkontrolou.cz/map/tree/eb9fcfc1-f6fa-405f-85c7-690b2fb79ecd/23f84aee-ce36-4eb2-b8d4-20f269e794fe</v>
      </c>
      <c r="N221" s="5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</row>
    <row r="222" spans="1:14" s="3" customFormat="1" ht="45">
      <c r="A222" s="9">
        <v>218</v>
      </c>
      <c r="B222" s="10" t="s">
        <v>166</v>
      </c>
      <c r="C222" s="11">
        <v>53</v>
      </c>
      <c r="D222" s="10" t="s">
        <v>27</v>
      </c>
      <c r="E222" s="10" t="s">
        <v>28</v>
      </c>
      <c r="F222" s="10">
        <v>34</v>
      </c>
      <c r="G222" s="10">
        <v>14</v>
      </c>
      <c r="H222" s="10">
        <v>11</v>
      </c>
      <c r="I222" s="10"/>
      <c r="J222" s="10" t="s">
        <v>19</v>
      </c>
      <c r="K222" s="10" t="s">
        <v>20</v>
      </c>
      <c r="L222" s="10"/>
      <c r="M222" s="10" t="str">
        <f>HYPERLINK("http://www.stromypodkontrolou.cz/map/tree/eb9fcfc1-f6fa-405f-85c7-690b2fb79ecd/9bf46ec8-a9e1-4cd9-9d0f-204e1d9ea291")</f>
        <v>http://www.stromypodkontrolou.cz/map/tree/eb9fcfc1-f6fa-405f-85c7-690b2fb79ecd/9bf46ec8-a9e1-4cd9-9d0f-204e1d9ea291</v>
      </c>
      <c r="N222" s="53"/>
    </row>
    <row r="223" spans="1:207" s="15" customFormat="1" ht="12.75">
      <c r="A223" s="12">
        <v>219</v>
      </c>
      <c r="B223" s="46" t="s">
        <v>166</v>
      </c>
      <c r="C223" s="47">
        <v>76</v>
      </c>
      <c r="D223" s="46" t="s">
        <v>27</v>
      </c>
      <c r="E223" s="46" t="s">
        <v>28</v>
      </c>
      <c r="F223" s="46">
        <v>32</v>
      </c>
      <c r="G223" s="46">
        <v>17</v>
      </c>
      <c r="H223" s="46">
        <v>10</v>
      </c>
      <c r="I223" s="46" t="s">
        <v>269</v>
      </c>
      <c r="J223" s="16" t="s">
        <v>97</v>
      </c>
      <c r="K223" s="16" t="s">
        <v>98</v>
      </c>
      <c r="L223" s="43"/>
      <c r="M223" s="46" t="s">
        <v>274</v>
      </c>
      <c r="N223" s="5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</row>
    <row r="224" spans="1:207" s="15" customFormat="1" ht="22.5">
      <c r="A224" s="12">
        <v>220</v>
      </c>
      <c r="B224" s="46"/>
      <c r="C224" s="47"/>
      <c r="D224" s="46"/>
      <c r="E224" s="46"/>
      <c r="F224" s="46"/>
      <c r="G224" s="46"/>
      <c r="H224" s="46"/>
      <c r="I224" s="46"/>
      <c r="J224" s="16" t="s">
        <v>19</v>
      </c>
      <c r="K224" s="16" t="s">
        <v>20</v>
      </c>
      <c r="L224" s="43"/>
      <c r="M224" s="46"/>
      <c r="N224" s="5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</row>
    <row r="225" spans="1:14" s="3" customFormat="1" ht="45">
      <c r="A225" s="9">
        <v>221</v>
      </c>
      <c r="B225" s="10" t="s">
        <v>166</v>
      </c>
      <c r="C225" s="11">
        <v>77</v>
      </c>
      <c r="D225" s="10" t="s">
        <v>27</v>
      </c>
      <c r="E225" s="10" t="s">
        <v>28</v>
      </c>
      <c r="F225" s="10">
        <v>28</v>
      </c>
      <c r="G225" s="10">
        <v>16</v>
      </c>
      <c r="H225" s="10">
        <v>9</v>
      </c>
      <c r="I225" s="10"/>
      <c r="J225" s="10" t="s">
        <v>19</v>
      </c>
      <c r="K225" s="10" t="s">
        <v>20</v>
      </c>
      <c r="L225" s="10"/>
      <c r="M225" s="10" t="str">
        <f>HYPERLINK("http://www.stromypodkontrolou.cz/map/tree/eb9fcfc1-f6fa-405f-85c7-690b2fb79ecd/861d6d42-3e35-4712-8387-52349b9bd4db")</f>
        <v>http://www.stromypodkontrolou.cz/map/tree/eb9fcfc1-f6fa-405f-85c7-690b2fb79ecd/861d6d42-3e35-4712-8387-52349b9bd4db</v>
      </c>
      <c r="N225" s="53"/>
    </row>
    <row r="226" spans="1:207" s="15" customFormat="1" ht="45">
      <c r="A226" s="12">
        <v>222</v>
      </c>
      <c r="B226" s="16" t="s">
        <v>166</v>
      </c>
      <c r="C226" s="14">
        <v>81</v>
      </c>
      <c r="D226" s="16" t="s">
        <v>27</v>
      </c>
      <c r="E226" s="16" t="s">
        <v>28</v>
      </c>
      <c r="F226" s="16">
        <v>31</v>
      </c>
      <c r="G226" s="16">
        <v>15</v>
      </c>
      <c r="H226" s="16">
        <v>9</v>
      </c>
      <c r="I226" s="16"/>
      <c r="J226" s="16" t="s">
        <v>19</v>
      </c>
      <c r="K226" s="16" t="s">
        <v>20</v>
      </c>
      <c r="L226" s="16"/>
      <c r="M226" s="16" t="str">
        <f>HYPERLINK("http://www.stromypodkontrolou.cz/map/tree/eb9fcfc1-f6fa-405f-85c7-690b2fb79ecd/e2cacee5-2d98-4733-8148-ab8a98d74c4d")</f>
        <v>http://www.stromypodkontrolou.cz/map/tree/eb9fcfc1-f6fa-405f-85c7-690b2fb79ecd/e2cacee5-2d98-4733-8148-ab8a98d74c4d</v>
      </c>
      <c r="N226" s="5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</row>
    <row r="227" spans="1:14" s="3" customFormat="1" ht="45">
      <c r="A227" s="9">
        <v>223</v>
      </c>
      <c r="B227" s="10" t="s">
        <v>167</v>
      </c>
      <c r="C227" s="11">
        <v>11</v>
      </c>
      <c r="D227" s="10" t="s">
        <v>27</v>
      </c>
      <c r="E227" s="10" t="s">
        <v>28</v>
      </c>
      <c r="F227" s="10">
        <v>35</v>
      </c>
      <c r="G227" s="10">
        <v>16</v>
      </c>
      <c r="H227" s="10">
        <v>8</v>
      </c>
      <c r="I227" s="10"/>
      <c r="J227" s="10" t="s">
        <v>19</v>
      </c>
      <c r="K227" s="10" t="s">
        <v>20</v>
      </c>
      <c r="L227" s="10"/>
      <c r="M227" s="10" t="str">
        <f>HYPERLINK("http://www.stromypodkontrolou.cz/map/tree/eb9fcfc1-f6fa-405f-85c7-690b2fb79ecd/7abac3cc-e8b0-4897-b416-c3b91726a728")</f>
        <v>http://www.stromypodkontrolou.cz/map/tree/eb9fcfc1-f6fa-405f-85c7-690b2fb79ecd/7abac3cc-e8b0-4897-b416-c3b91726a728</v>
      </c>
      <c r="N227" s="53"/>
    </row>
    <row r="228" spans="1:207" s="15" customFormat="1" ht="22.5">
      <c r="A228" s="12">
        <v>224</v>
      </c>
      <c r="B228" s="46" t="s">
        <v>167</v>
      </c>
      <c r="C228" s="47">
        <v>39</v>
      </c>
      <c r="D228" s="46" t="s">
        <v>27</v>
      </c>
      <c r="E228" s="46" t="s">
        <v>28</v>
      </c>
      <c r="F228" s="46">
        <v>32</v>
      </c>
      <c r="G228" s="46">
        <v>20</v>
      </c>
      <c r="H228" s="46">
        <v>8</v>
      </c>
      <c r="I228" s="46"/>
      <c r="J228" s="16" t="s">
        <v>25</v>
      </c>
      <c r="K228" s="16" t="s">
        <v>26</v>
      </c>
      <c r="L228" s="16" t="s">
        <v>57</v>
      </c>
      <c r="M228" s="46" t="str">
        <f>HYPERLINK("http://www.stromypodkontrolou.cz/map/tree/eb9fcfc1-f6fa-405f-85c7-690b2fb79ecd/750282fa-f1a5-4842-9718-cfe1e272b3b4")</f>
        <v>http://www.stromypodkontrolou.cz/map/tree/eb9fcfc1-f6fa-405f-85c7-690b2fb79ecd/750282fa-f1a5-4842-9718-cfe1e272b3b4</v>
      </c>
      <c r="N228" s="5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</row>
    <row r="229" spans="1:207" s="15" customFormat="1" ht="22.5">
      <c r="A229" s="12">
        <v>225</v>
      </c>
      <c r="B229" s="46"/>
      <c r="C229" s="47"/>
      <c r="D229" s="46"/>
      <c r="E229" s="46"/>
      <c r="F229" s="46"/>
      <c r="G229" s="46"/>
      <c r="H229" s="46"/>
      <c r="I229" s="46"/>
      <c r="J229" s="16" t="s">
        <v>19</v>
      </c>
      <c r="K229" s="16" t="s">
        <v>20</v>
      </c>
      <c r="L229" s="16"/>
      <c r="M229" s="46"/>
      <c r="N229" s="5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</row>
    <row r="230" spans="1:14" s="3" customFormat="1" ht="12.75">
      <c r="A230" s="9">
        <v>226</v>
      </c>
      <c r="B230" s="38" t="s">
        <v>167</v>
      </c>
      <c r="C230" s="41">
        <v>58</v>
      </c>
      <c r="D230" s="38" t="s">
        <v>31</v>
      </c>
      <c r="E230" s="38" t="s">
        <v>32</v>
      </c>
      <c r="F230" s="38">
        <v>29</v>
      </c>
      <c r="G230" s="38">
        <v>12</v>
      </c>
      <c r="H230" s="38">
        <v>6</v>
      </c>
      <c r="I230" s="38" t="s">
        <v>168</v>
      </c>
      <c r="J230" s="10" t="s">
        <v>14</v>
      </c>
      <c r="K230" s="10" t="s">
        <v>15</v>
      </c>
      <c r="L230" s="42"/>
      <c r="M230" s="38" t="str">
        <f>HYPERLINK("http://www.stromypodkontrolou.cz/map/tree/eb9fcfc1-f6fa-405f-85c7-690b2fb79ecd/3e6e38e9-46f1-4b68-a219-09ab51f9bb82")</f>
        <v>http://www.stromypodkontrolou.cz/map/tree/eb9fcfc1-f6fa-405f-85c7-690b2fb79ecd/3e6e38e9-46f1-4b68-a219-09ab51f9bb82</v>
      </c>
      <c r="N230" s="53"/>
    </row>
    <row r="231" spans="1:14" s="3" customFormat="1" ht="22.5">
      <c r="A231" s="9">
        <v>227</v>
      </c>
      <c r="B231" s="38" t="s">
        <v>167</v>
      </c>
      <c r="C231" s="41">
        <v>58</v>
      </c>
      <c r="D231" s="38" t="s">
        <v>31</v>
      </c>
      <c r="E231" s="38" t="s">
        <v>32</v>
      </c>
      <c r="F231" s="38">
        <v>29</v>
      </c>
      <c r="G231" s="38">
        <v>12</v>
      </c>
      <c r="H231" s="38">
        <v>6</v>
      </c>
      <c r="I231" s="38" t="s">
        <v>168</v>
      </c>
      <c r="J231" s="10" t="s">
        <v>25</v>
      </c>
      <c r="K231" s="10" t="s">
        <v>26</v>
      </c>
      <c r="L231" s="42"/>
      <c r="M231" s="38" t="str">
        <f>HYPERLINK("http://www.stromypodkontrolou.cz/map/tree/eb9fcfc1-f6fa-405f-85c7-690b2fb79ecd/3e6e38e9-46f1-4b68-a219-09ab51f9bb82")</f>
        <v>http://www.stromypodkontrolou.cz/map/tree/eb9fcfc1-f6fa-405f-85c7-690b2fb79ecd/3e6e38e9-46f1-4b68-a219-09ab51f9bb82</v>
      </c>
      <c r="N231" s="53"/>
    </row>
    <row r="232" spans="1:207" s="15" customFormat="1" ht="45">
      <c r="A232" s="12">
        <v>228</v>
      </c>
      <c r="B232" s="16" t="s">
        <v>167</v>
      </c>
      <c r="C232" s="14">
        <v>87</v>
      </c>
      <c r="D232" s="16" t="s">
        <v>27</v>
      </c>
      <c r="E232" s="16" t="s">
        <v>28</v>
      </c>
      <c r="F232" s="16">
        <v>45</v>
      </c>
      <c r="G232" s="16">
        <v>20</v>
      </c>
      <c r="H232" s="16">
        <v>9</v>
      </c>
      <c r="I232" s="16" t="s">
        <v>169</v>
      </c>
      <c r="J232" s="16" t="s">
        <v>19</v>
      </c>
      <c r="K232" s="16" t="s">
        <v>20</v>
      </c>
      <c r="L232" s="16"/>
      <c r="M232" s="16" t="str">
        <f>HYPERLINK("http://www.stromypodkontrolou.cz/map/tree/eb9fcfc1-f6fa-405f-85c7-690b2fb79ecd/b6f9a0c0-d9c5-41b1-bba4-6f1ca60d588c")</f>
        <v>http://www.stromypodkontrolou.cz/map/tree/eb9fcfc1-f6fa-405f-85c7-690b2fb79ecd/b6f9a0c0-d9c5-41b1-bba4-6f1ca60d588c</v>
      </c>
      <c r="N232" s="5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</row>
    <row r="233" spans="1:14" s="3" customFormat="1" ht="45">
      <c r="A233" s="9">
        <v>229</v>
      </c>
      <c r="B233" s="10" t="s">
        <v>167</v>
      </c>
      <c r="C233" s="11">
        <v>92</v>
      </c>
      <c r="D233" s="10" t="s">
        <v>27</v>
      </c>
      <c r="E233" s="10" t="s">
        <v>28</v>
      </c>
      <c r="F233" s="10">
        <v>35</v>
      </c>
      <c r="G233" s="10">
        <v>20</v>
      </c>
      <c r="H233" s="10">
        <v>9</v>
      </c>
      <c r="I233" s="10"/>
      <c r="J233" s="10" t="s">
        <v>19</v>
      </c>
      <c r="K233" s="10" t="s">
        <v>20</v>
      </c>
      <c r="L233" s="10"/>
      <c r="M233" s="10" t="str">
        <f>HYPERLINK("http://www.stromypodkontrolou.cz/map/tree/eb9fcfc1-f6fa-405f-85c7-690b2fb79ecd/caf9b20d-1b14-45f0-b1f5-69a4323b577b")</f>
        <v>http://www.stromypodkontrolou.cz/map/tree/eb9fcfc1-f6fa-405f-85c7-690b2fb79ecd/caf9b20d-1b14-45f0-b1f5-69a4323b577b</v>
      </c>
      <c r="N233" s="53"/>
    </row>
    <row r="234" spans="1:207" s="15" customFormat="1" ht="45">
      <c r="A234" s="12">
        <v>230</v>
      </c>
      <c r="B234" s="16" t="s">
        <v>167</v>
      </c>
      <c r="C234" s="14">
        <v>173</v>
      </c>
      <c r="D234" s="16" t="s">
        <v>27</v>
      </c>
      <c r="E234" s="16" t="s">
        <v>28</v>
      </c>
      <c r="F234" s="16">
        <v>22</v>
      </c>
      <c r="G234" s="16">
        <v>17</v>
      </c>
      <c r="H234" s="16">
        <v>8</v>
      </c>
      <c r="I234" s="16"/>
      <c r="J234" s="16" t="s">
        <v>25</v>
      </c>
      <c r="K234" s="16" t="s">
        <v>26</v>
      </c>
      <c r="L234" s="16"/>
      <c r="M234" s="16" t="str">
        <f>HYPERLINK("http://www.stromypodkontrolou.cz/map/tree/eb9fcfc1-f6fa-405f-85c7-690b2fb79ecd/fdd7ff87-6115-44b4-a666-34ef54f788a4")</f>
        <v>http://www.stromypodkontrolou.cz/map/tree/eb9fcfc1-f6fa-405f-85c7-690b2fb79ecd/fdd7ff87-6115-44b4-a666-34ef54f788a4</v>
      </c>
      <c r="N234" s="5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</row>
    <row r="235" spans="1:14" s="3" customFormat="1" ht="22.5">
      <c r="A235" s="9">
        <v>231</v>
      </c>
      <c r="B235" s="38" t="s">
        <v>167</v>
      </c>
      <c r="C235" s="41">
        <v>211</v>
      </c>
      <c r="D235" s="38" t="s">
        <v>71</v>
      </c>
      <c r="E235" s="38" t="s">
        <v>72</v>
      </c>
      <c r="F235" s="38">
        <v>29</v>
      </c>
      <c r="G235" s="38">
        <v>10</v>
      </c>
      <c r="H235" s="38">
        <v>8</v>
      </c>
      <c r="I235" s="38" t="s">
        <v>29</v>
      </c>
      <c r="J235" s="10" t="s">
        <v>19</v>
      </c>
      <c r="K235" s="10" t="s">
        <v>20</v>
      </c>
      <c r="L235" s="10"/>
      <c r="M235" s="38" t="str">
        <f>HYPERLINK("http://www.stromypodkontrolou.cz/map/tree/eb9fcfc1-f6fa-405f-85c7-690b2fb79ecd/b64ecabf-515a-489e-a7c1-a77b51fb528c")</f>
        <v>http://www.stromypodkontrolou.cz/map/tree/eb9fcfc1-f6fa-405f-85c7-690b2fb79ecd/b64ecabf-515a-489e-a7c1-a77b51fb528c</v>
      </c>
      <c r="N235" s="53"/>
    </row>
    <row r="236" spans="1:14" s="3" customFormat="1" ht="25.5" customHeight="1">
      <c r="A236" s="9">
        <v>232</v>
      </c>
      <c r="B236" s="38" t="s">
        <v>167</v>
      </c>
      <c r="C236" s="41">
        <v>211</v>
      </c>
      <c r="D236" s="38" t="s">
        <v>71</v>
      </c>
      <c r="E236" s="38" t="s">
        <v>72</v>
      </c>
      <c r="F236" s="38">
        <v>29</v>
      </c>
      <c r="G236" s="38">
        <v>10</v>
      </c>
      <c r="H236" s="38">
        <v>8</v>
      </c>
      <c r="I236" s="38" t="s">
        <v>29</v>
      </c>
      <c r="J236" s="10" t="s">
        <v>12</v>
      </c>
      <c r="K236" s="10" t="s">
        <v>13</v>
      </c>
      <c r="L236" s="10" t="s">
        <v>17</v>
      </c>
      <c r="M236" s="38" t="str">
        <f>HYPERLINK("http://www.stromypodkontrolou.cz/map/tree/eb9fcfc1-f6fa-405f-85c7-690b2fb79ecd/b64ecabf-515a-489e-a7c1-a77b51fb528c")</f>
        <v>http://www.stromypodkontrolou.cz/map/tree/eb9fcfc1-f6fa-405f-85c7-690b2fb79ecd/b64ecabf-515a-489e-a7c1-a77b51fb528c</v>
      </c>
      <c r="N236" s="53"/>
    </row>
    <row r="237" spans="1:207" s="15" customFormat="1" ht="45">
      <c r="A237" s="12">
        <v>233</v>
      </c>
      <c r="B237" s="16" t="s">
        <v>167</v>
      </c>
      <c r="C237" s="14">
        <v>285</v>
      </c>
      <c r="D237" s="16" t="s">
        <v>71</v>
      </c>
      <c r="E237" s="16" t="s">
        <v>72</v>
      </c>
      <c r="F237" s="16">
        <v>22</v>
      </c>
      <c r="G237" s="16">
        <v>11</v>
      </c>
      <c r="H237" s="16">
        <v>8</v>
      </c>
      <c r="I237" s="16"/>
      <c r="J237" s="16" t="s">
        <v>14</v>
      </c>
      <c r="K237" s="16" t="s">
        <v>15</v>
      </c>
      <c r="L237" s="16"/>
      <c r="M237" s="16" t="str">
        <f>HYPERLINK("http://www.stromypodkontrolou.cz/map/tree/eb9fcfc1-f6fa-405f-85c7-690b2fb79ecd/9c9ef236-d449-4d76-bc69-c0af812bfad0")</f>
        <v>http://www.stromypodkontrolou.cz/map/tree/eb9fcfc1-f6fa-405f-85c7-690b2fb79ecd/9c9ef236-d449-4d76-bc69-c0af812bfad0</v>
      </c>
      <c r="N237" s="5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</row>
    <row r="238" spans="1:14" s="3" customFormat="1" ht="12.75">
      <c r="A238" s="9">
        <v>234</v>
      </c>
      <c r="B238" s="38" t="s">
        <v>167</v>
      </c>
      <c r="C238" s="41">
        <v>323</v>
      </c>
      <c r="D238" s="38" t="s">
        <v>9</v>
      </c>
      <c r="E238" s="38" t="s">
        <v>10</v>
      </c>
      <c r="F238" s="38">
        <v>40</v>
      </c>
      <c r="G238" s="38">
        <v>16</v>
      </c>
      <c r="H238" s="38">
        <v>9</v>
      </c>
      <c r="I238" s="38"/>
      <c r="J238" s="10" t="s">
        <v>14</v>
      </c>
      <c r="K238" s="10" t="s">
        <v>15</v>
      </c>
      <c r="L238" s="42"/>
      <c r="M238" s="38" t="str">
        <f>HYPERLINK("http://www.stromypodkontrolou.cz/map/tree/eb9fcfc1-f6fa-405f-85c7-690b2fb79ecd/d589d0ce-a350-4669-8b73-a875d0f124fe")</f>
        <v>http://www.stromypodkontrolou.cz/map/tree/eb9fcfc1-f6fa-405f-85c7-690b2fb79ecd/d589d0ce-a350-4669-8b73-a875d0f124fe</v>
      </c>
      <c r="N238" s="53"/>
    </row>
    <row r="239" spans="1:14" s="3" customFormat="1" ht="22.5">
      <c r="A239" s="9">
        <v>235</v>
      </c>
      <c r="B239" s="38"/>
      <c r="C239" s="41"/>
      <c r="D239" s="38"/>
      <c r="E239" s="38"/>
      <c r="F239" s="38"/>
      <c r="G239" s="38"/>
      <c r="H239" s="38"/>
      <c r="I239" s="38"/>
      <c r="J239" s="10" t="s">
        <v>19</v>
      </c>
      <c r="K239" s="10" t="s">
        <v>20</v>
      </c>
      <c r="L239" s="42"/>
      <c r="M239" s="38"/>
      <c r="N239" s="53"/>
    </row>
    <row r="240" spans="1:207" s="15" customFormat="1" ht="45">
      <c r="A240" s="12">
        <v>236</v>
      </c>
      <c r="B240" s="13" t="s">
        <v>167</v>
      </c>
      <c r="C240" s="17">
        <v>341</v>
      </c>
      <c r="D240" s="13" t="s">
        <v>27</v>
      </c>
      <c r="E240" s="13" t="s">
        <v>28</v>
      </c>
      <c r="F240" s="13">
        <v>52</v>
      </c>
      <c r="G240" s="13">
        <v>20</v>
      </c>
      <c r="H240" s="13">
        <v>8</v>
      </c>
      <c r="I240" s="13"/>
      <c r="J240" s="13" t="s">
        <v>12</v>
      </c>
      <c r="K240" s="13" t="s">
        <v>13</v>
      </c>
      <c r="L240" s="13" t="s">
        <v>22</v>
      </c>
      <c r="M240" s="13" t="str">
        <f>HYPERLINK("http://www.stromypodkontrolou.cz/map/tree/eb9fcfc1-f6fa-405f-85c7-690b2fb79ecd/849fbcaa-1f8d-4cb5-8c8f-2e21456667b4")</f>
        <v>http://www.stromypodkontrolou.cz/map/tree/eb9fcfc1-f6fa-405f-85c7-690b2fb79ecd/849fbcaa-1f8d-4cb5-8c8f-2e21456667b4</v>
      </c>
      <c r="N240" s="5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</row>
    <row r="241" spans="1:14" s="3" customFormat="1" ht="45">
      <c r="A241" s="9">
        <v>237</v>
      </c>
      <c r="B241" s="10" t="s">
        <v>167</v>
      </c>
      <c r="C241" s="11">
        <v>347</v>
      </c>
      <c r="D241" s="10" t="s">
        <v>9</v>
      </c>
      <c r="E241" s="10" t="s">
        <v>10</v>
      </c>
      <c r="F241" s="10">
        <v>42</v>
      </c>
      <c r="G241" s="10">
        <v>17</v>
      </c>
      <c r="H241" s="10">
        <v>9</v>
      </c>
      <c r="I241" s="10" t="s">
        <v>165</v>
      </c>
      <c r="J241" s="10" t="s">
        <v>14</v>
      </c>
      <c r="K241" s="10" t="s">
        <v>15</v>
      </c>
      <c r="L241" s="10"/>
      <c r="M241" s="10" t="str">
        <f>HYPERLINK("http://www.stromypodkontrolou.cz/map/tree/eb9fcfc1-f6fa-405f-85c7-690b2fb79ecd/9b29c014-5129-4a02-8276-c36bc5e53c06")</f>
        <v>http://www.stromypodkontrolou.cz/map/tree/eb9fcfc1-f6fa-405f-85c7-690b2fb79ecd/9b29c014-5129-4a02-8276-c36bc5e53c06</v>
      </c>
      <c r="N241" s="53"/>
    </row>
    <row r="242" spans="1:207" s="15" customFormat="1" ht="12.75">
      <c r="A242" s="12">
        <v>238</v>
      </c>
      <c r="B242" s="45" t="s">
        <v>167</v>
      </c>
      <c r="C242" s="49">
        <v>350</v>
      </c>
      <c r="D242" s="45" t="s">
        <v>9</v>
      </c>
      <c r="E242" s="45" t="s">
        <v>10</v>
      </c>
      <c r="F242" s="45">
        <v>43</v>
      </c>
      <c r="G242" s="45">
        <v>17</v>
      </c>
      <c r="H242" s="45">
        <v>9</v>
      </c>
      <c r="I242" s="45" t="s">
        <v>172</v>
      </c>
      <c r="J242" s="13" t="s">
        <v>14</v>
      </c>
      <c r="K242" s="13" t="s">
        <v>15</v>
      </c>
      <c r="L242" s="44"/>
      <c r="M242" s="45" t="str">
        <f>HYPERLINK("http://www.stromypodkontrolou.cz/map/tree/eb9fcfc1-f6fa-405f-85c7-690b2fb79ecd/8aaa40ff-c58f-4dbe-9a00-71ff328bef2f")</f>
        <v>http://www.stromypodkontrolou.cz/map/tree/eb9fcfc1-f6fa-405f-85c7-690b2fb79ecd/8aaa40ff-c58f-4dbe-9a00-71ff328bef2f</v>
      </c>
      <c r="N242" s="5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</row>
    <row r="243" spans="1:207" s="15" customFormat="1" ht="22.5">
      <c r="A243" s="12">
        <v>239</v>
      </c>
      <c r="B243" s="45" t="s">
        <v>167</v>
      </c>
      <c r="C243" s="49">
        <v>350</v>
      </c>
      <c r="D243" s="45" t="s">
        <v>9</v>
      </c>
      <c r="E243" s="45" t="s">
        <v>10</v>
      </c>
      <c r="F243" s="45">
        <v>43</v>
      </c>
      <c r="G243" s="45">
        <v>17</v>
      </c>
      <c r="H243" s="45">
        <v>9</v>
      </c>
      <c r="I243" s="45" t="s">
        <v>172</v>
      </c>
      <c r="J243" s="13" t="s">
        <v>12</v>
      </c>
      <c r="K243" s="13" t="s">
        <v>13</v>
      </c>
      <c r="L243" s="44"/>
      <c r="M243" s="45" t="str">
        <f>HYPERLINK("http://www.stromypodkontrolou.cz/map/tree/eb9fcfc1-f6fa-405f-85c7-690b2fb79ecd/8aaa40ff-c58f-4dbe-9a00-71ff328bef2f")</f>
        <v>http://www.stromypodkontrolou.cz/map/tree/eb9fcfc1-f6fa-405f-85c7-690b2fb79ecd/8aaa40ff-c58f-4dbe-9a00-71ff328bef2f</v>
      </c>
      <c r="N243" s="5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</row>
    <row r="244" spans="1:14" s="3" customFormat="1" ht="25.5" customHeight="1">
      <c r="A244" s="9">
        <v>240</v>
      </c>
      <c r="B244" s="38" t="s">
        <v>167</v>
      </c>
      <c r="C244" s="41">
        <v>363</v>
      </c>
      <c r="D244" s="38" t="s">
        <v>37</v>
      </c>
      <c r="E244" s="38" t="s">
        <v>38</v>
      </c>
      <c r="F244" s="38">
        <v>26</v>
      </c>
      <c r="G244" s="38">
        <v>14</v>
      </c>
      <c r="H244" s="38">
        <v>8</v>
      </c>
      <c r="I244" s="38" t="s">
        <v>29</v>
      </c>
      <c r="J244" s="10" t="s">
        <v>12</v>
      </c>
      <c r="K244" s="10" t="s">
        <v>13</v>
      </c>
      <c r="L244" s="10" t="s">
        <v>17</v>
      </c>
      <c r="M244" s="38" t="str">
        <f>HYPERLINK("http://www.stromypodkontrolou.cz/map/tree/eb9fcfc1-f6fa-405f-85c7-690b2fb79ecd/d9ac0e50-770a-48a1-aa2b-c7227e2758fb")</f>
        <v>http://www.stromypodkontrolou.cz/map/tree/eb9fcfc1-f6fa-405f-85c7-690b2fb79ecd/d9ac0e50-770a-48a1-aa2b-c7227e2758fb</v>
      </c>
      <c r="N244" s="53"/>
    </row>
    <row r="245" spans="1:14" s="3" customFormat="1" ht="12.75">
      <c r="A245" s="9">
        <v>241</v>
      </c>
      <c r="B245" s="38" t="s">
        <v>167</v>
      </c>
      <c r="C245" s="41">
        <v>363</v>
      </c>
      <c r="D245" s="38" t="s">
        <v>37</v>
      </c>
      <c r="E245" s="38" t="s">
        <v>38</v>
      </c>
      <c r="F245" s="38">
        <v>26</v>
      </c>
      <c r="G245" s="38">
        <v>14</v>
      </c>
      <c r="H245" s="38">
        <v>8</v>
      </c>
      <c r="I245" s="38" t="s">
        <v>29</v>
      </c>
      <c r="J245" s="10" t="s">
        <v>14</v>
      </c>
      <c r="K245" s="10" t="s">
        <v>15</v>
      </c>
      <c r="L245" s="10"/>
      <c r="M245" s="38" t="str">
        <f>HYPERLINK("http://www.stromypodkontrolou.cz/map/tree/eb9fcfc1-f6fa-405f-85c7-690b2fb79ecd/d9ac0e50-770a-48a1-aa2b-c7227e2758fb")</f>
        <v>http://www.stromypodkontrolou.cz/map/tree/eb9fcfc1-f6fa-405f-85c7-690b2fb79ecd/d9ac0e50-770a-48a1-aa2b-c7227e2758fb</v>
      </c>
      <c r="N245" s="53"/>
    </row>
    <row r="246" spans="1:207" s="15" customFormat="1" ht="22.5">
      <c r="A246" s="12">
        <v>242</v>
      </c>
      <c r="B246" s="45" t="s">
        <v>167</v>
      </c>
      <c r="C246" s="49">
        <v>365</v>
      </c>
      <c r="D246" s="45" t="s">
        <v>9</v>
      </c>
      <c r="E246" s="45" t="s">
        <v>10</v>
      </c>
      <c r="F246" s="45">
        <v>37</v>
      </c>
      <c r="G246" s="45">
        <v>14</v>
      </c>
      <c r="H246" s="45">
        <v>10</v>
      </c>
      <c r="I246" s="45" t="s">
        <v>23</v>
      </c>
      <c r="J246" s="13" t="s">
        <v>12</v>
      </c>
      <c r="K246" s="13" t="s">
        <v>13</v>
      </c>
      <c r="L246" s="44"/>
      <c r="M246" s="45" t="str">
        <f>HYPERLINK("http://www.stromypodkontrolou.cz/map/tree/eb9fcfc1-f6fa-405f-85c7-690b2fb79ecd/9acc748e-a467-478d-b5ce-e3b415fab8bb")</f>
        <v>http://www.stromypodkontrolou.cz/map/tree/eb9fcfc1-f6fa-405f-85c7-690b2fb79ecd/9acc748e-a467-478d-b5ce-e3b415fab8bb</v>
      </c>
      <c r="N246" s="5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</row>
    <row r="247" spans="1:207" s="15" customFormat="1" ht="12.75">
      <c r="A247" s="12">
        <v>243</v>
      </c>
      <c r="B247" s="45" t="s">
        <v>167</v>
      </c>
      <c r="C247" s="49">
        <v>365</v>
      </c>
      <c r="D247" s="45" t="s">
        <v>9</v>
      </c>
      <c r="E247" s="45" t="s">
        <v>10</v>
      </c>
      <c r="F247" s="45">
        <v>37</v>
      </c>
      <c r="G247" s="45">
        <v>14</v>
      </c>
      <c r="H247" s="45">
        <v>10</v>
      </c>
      <c r="I247" s="45" t="s">
        <v>23</v>
      </c>
      <c r="J247" s="13" t="s">
        <v>14</v>
      </c>
      <c r="K247" s="13" t="s">
        <v>15</v>
      </c>
      <c r="L247" s="44"/>
      <c r="M247" s="45" t="str">
        <f>HYPERLINK("http://www.stromypodkontrolou.cz/map/tree/eb9fcfc1-f6fa-405f-85c7-690b2fb79ecd/9acc748e-a467-478d-b5ce-e3b415fab8bb")</f>
        <v>http://www.stromypodkontrolou.cz/map/tree/eb9fcfc1-f6fa-405f-85c7-690b2fb79ecd/9acc748e-a467-478d-b5ce-e3b415fab8bb</v>
      </c>
      <c r="N247" s="5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</row>
    <row r="248" spans="1:14" s="3" customFormat="1" ht="45">
      <c r="A248" s="9">
        <v>244</v>
      </c>
      <c r="B248" s="10" t="s">
        <v>167</v>
      </c>
      <c r="C248" s="11">
        <v>382</v>
      </c>
      <c r="D248" s="10" t="s">
        <v>92</v>
      </c>
      <c r="E248" s="10" t="s">
        <v>93</v>
      </c>
      <c r="F248" s="10">
        <v>21</v>
      </c>
      <c r="G248" s="10">
        <v>18</v>
      </c>
      <c r="H248" s="10">
        <v>6</v>
      </c>
      <c r="I248" s="10" t="s">
        <v>63</v>
      </c>
      <c r="J248" s="10" t="s">
        <v>25</v>
      </c>
      <c r="K248" s="10" t="s">
        <v>26</v>
      </c>
      <c r="L248" s="10"/>
      <c r="M248" s="10" t="str">
        <f>HYPERLINK("http://www.stromypodkontrolou.cz/map/tree/eb9fcfc1-f6fa-405f-85c7-690b2fb79ecd/5f51950d-a46c-4089-834f-c700c778f81d")</f>
        <v>http://www.stromypodkontrolou.cz/map/tree/eb9fcfc1-f6fa-405f-85c7-690b2fb79ecd/5f51950d-a46c-4089-834f-c700c778f81d</v>
      </c>
      <c r="N248" s="53"/>
    </row>
    <row r="249" spans="1:207" s="15" customFormat="1" ht="45">
      <c r="A249" s="12">
        <v>245</v>
      </c>
      <c r="B249" s="13" t="s">
        <v>167</v>
      </c>
      <c r="C249" s="17">
        <v>383</v>
      </c>
      <c r="D249" s="13" t="s">
        <v>27</v>
      </c>
      <c r="E249" s="13" t="s">
        <v>28</v>
      </c>
      <c r="F249" s="13">
        <v>34</v>
      </c>
      <c r="G249" s="13">
        <v>18</v>
      </c>
      <c r="H249" s="13">
        <v>8</v>
      </c>
      <c r="I249" s="13"/>
      <c r="J249" s="13" t="s">
        <v>14</v>
      </c>
      <c r="K249" s="13" t="s">
        <v>15</v>
      </c>
      <c r="L249" s="13"/>
      <c r="M249" s="13" t="s">
        <v>301</v>
      </c>
      <c r="N249" s="5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</row>
    <row r="250" spans="1:14" s="3" customFormat="1" ht="12.75">
      <c r="A250" s="9">
        <v>246</v>
      </c>
      <c r="B250" s="38" t="s">
        <v>167</v>
      </c>
      <c r="C250" s="41">
        <v>422</v>
      </c>
      <c r="D250" s="38" t="s">
        <v>9</v>
      </c>
      <c r="E250" s="38" t="s">
        <v>10</v>
      </c>
      <c r="F250" s="38">
        <v>45</v>
      </c>
      <c r="G250" s="38">
        <v>14</v>
      </c>
      <c r="H250" s="38">
        <v>8</v>
      </c>
      <c r="I250" s="38" t="s">
        <v>173</v>
      </c>
      <c r="J250" s="10" t="s">
        <v>14</v>
      </c>
      <c r="K250" s="10" t="s">
        <v>15</v>
      </c>
      <c r="L250" s="42"/>
      <c r="M250" s="38" t="str">
        <f>HYPERLINK("http://www.stromypodkontrolou.cz/map/tree/eb9fcfc1-f6fa-405f-85c7-690b2fb79ecd/93c85346-9dda-4237-ae5e-7551f2a64191")</f>
        <v>http://www.stromypodkontrolou.cz/map/tree/eb9fcfc1-f6fa-405f-85c7-690b2fb79ecd/93c85346-9dda-4237-ae5e-7551f2a64191</v>
      </c>
      <c r="N250" s="53"/>
    </row>
    <row r="251" spans="1:14" s="3" customFormat="1" ht="22.5">
      <c r="A251" s="9">
        <v>247</v>
      </c>
      <c r="B251" s="38" t="s">
        <v>167</v>
      </c>
      <c r="C251" s="41">
        <v>422</v>
      </c>
      <c r="D251" s="38" t="s">
        <v>9</v>
      </c>
      <c r="E251" s="38" t="s">
        <v>10</v>
      </c>
      <c r="F251" s="38">
        <v>45</v>
      </c>
      <c r="G251" s="38">
        <v>14</v>
      </c>
      <c r="H251" s="38">
        <v>8</v>
      </c>
      <c r="I251" s="38" t="s">
        <v>173</v>
      </c>
      <c r="J251" s="10" t="s">
        <v>12</v>
      </c>
      <c r="K251" s="10" t="s">
        <v>13</v>
      </c>
      <c r="L251" s="42"/>
      <c r="M251" s="38" t="str">
        <f>HYPERLINK("http://www.stromypodkontrolou.cz/map/tree/eb9fcfc1-f6fa-405f-85c7-690b2fb79ecd/93c85346-9dda-4237-ae5e-7551f2a64191")</f>
        <v>http://www.stromypodkontrolou.cz/map/tree/eb9fcfc1-f6fa-405f-85c7-690b2fb79ecd/93c85346-9dda-4237-ae5e-7551f2a64191</v>
      </c>
      <c r="N251" s="53"/>
    </row>
    <row r="252" spans="1:207" s="15" customFormat="1" ht="12.75">
      <c r="A252" s="12">
        <v>248</v>
      </c>
      <c r="B252" s="46" t="s">
        <v>167</v>
      </c>
      <c r="C252" s="47">
        <v>437</v>
      </c>
      <c r="D252" s="46" t="s">
        <v>27</v>
      </c>
      <c r="E252" s="46" t="s">
        <v>28</v>
      </c>
      <c r="F252" s="46">
        <v>34</v>
      </c>
      <c r="G252" s="46">
        <v>18</v>
      </c>
      <c r="H252" s="46">
        <v>8</v>
      </c>
      <c r="I252" s="46"/>
      <c r="J252" s="16" t="s">
        <v>14</v>
      </c>
      <c r="K252" s="16" t="s">
        <v>15</v>
      </c>
      <c r="L252" s="43"/>
      <c r="M252" s="46" t="str">
        <f>HYPERLINK("http://www.stromypodkontrolou.cz/map/tree/eb9fcfc1-f6fa-405f-85c7-690b2fb79ecd/95f5d223-04a2-4230-81d3-dfae7f09e111")</f>
        <v>http://www.stromypodkontrolou.cz/map/tree/eb9fcfc1-f6fa-405f-85c7-690b2fb79ecd/95f5d223-04a2-4230-81d3-dfae7f09e111</v>
      </c>
      <c r="N252" s="5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</row>
    <row r="253" spans="1:207" s="15" customFormat="1" ht="22.5">
      <c r="A253" s="12">
        <v>249</v>
      </c>
      <c r="B253" s="46" t="s">
        <v>167</v>
      </c>
      <c r="C253" s="47">
        <v>437</v>
      </c>
      <c r="D253" s="46" t="s">
        <v>27</v>
      </c>
      <c r="E253" s="46" t="s">
        <v>28</v>
      </c>
      <c r="F253" s="46">
        <v>34</v>
      </c>
      <c r="G253" s="46">
        <v>18</v>
      </c>
      <c r="H253" s="46">
        <v>8</v>
      </c>
      <c r="I253" s="46"/>
      <c r="J253" s="16" t="s">
        <v>19</v>
      </c>
      <c r="K253" s="16" t="s">
        <v>20</v>
      </c>
      <c r="L253" s="43"/>
      <c r="M253" s="46" t="str">
        <f>HYPERLINK("http://www.stromypodkontrolou.cz/map/tree/eb9fcfc1-f6fa-405f-85c7-690b2fb79ecd/95f5d223-04a2-4230-81d3-dfae7f09e111")</f>
        <v>http://www.stromypodkontrolou.cz/map/tree/eb9fcfc1-f6fa-405f-85c7-690b2fb79ecd/95f5d223-04a2-4230-81d3-dfae7f09e111</v>
      </c>
      <c r="N253" s="5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</row>
    <row r="254" spans="1:14" s="3" customFormat="1" ht="22.5">
      <c r="A254" s="9">
        <v>250</v>
      </c>
      <c r="B254" s="38" t="s">
        <v>167</v>
      </c>
      <c r="C254" s="41">
        <v>441</v>
      </c>
      <c r="D254" s="38" t="s">
        <v>27</v>
      </c>
      <c r="E254" s="38" t="s">
        <v>28</v>
      </c>
      <c r="F254" s="38">
        <v>41</v>
      </c>
      <c r="G254" s="38">
        <v>19</v>
      </c>
      <c r="H254" s="38">
        <v>12</v>
      </c>
      <c r="I254" s="38" t="s">
        <v>95</v>
      </c>
      <c r="J254" s="10" t="s">
        <v>19</v>
      </c>
      <c r="K254" s="10" t="s">
        <v>20</v>
      </c>
      <c r="L254" s="10" t="s">
        <v>22</v>
      </c>
      <c r="M254" s="50" t="s">
        <v>270</v>
      </c>
      <c r="N254" s="53"/>
    </row>
    <row r="255" spans="1:14" s="3" customFormat="1" ht="22.5">
      <c r="A255" s="9">
        <v>251</v>
      </c>
      <c r="B255" s="38"/>
      <c r="C255" s="41"/>
      <c r="D255" s="38"/>
      <c r="E255" s="38"/>
      <c r="F255" s="38">
        <v>41</v>
      </c>
      <c r="G255" s="38"/>
      <c r="H255" s="38"/>
      <c r="I255" s="38"/>
      <c r="J255" s="10" t="s">
        <v>12</v>
      </c>
      <c r="K255" s="10" t="s">
        <v>13</v>
      </c>
      <c r="L255" s="10"/>
      <c r="M255" s="38"/>
      <c r="N255" s="53"/>
    </row>
    <row r="256" spans="1:207" s="15" customFormat="1" ht="45">
      <c r="A256" s="12">
        <v>252</v>
      </c>
      <c r="B256" s="13" t="s">
        <v>167</v>
      </c>
      <c r="C256" s="17">
        <v>464</v>
      </c>
      <c r="D256" s="13" t="s">
        <v>9</v>
      </c>
      <c r="E256" s="13" t="s">
        <v>10</v>
      </c>
      <c r="F256" s="13">
        <v>39</v>
      </c>
      <c r="G256" s="13">
        <v>16</v>
      </c>
      <c r="H256" s="13">
        <v>8</v>
      </c>
      <c r="I256" s="13" t="s">
        <v>174</v>
      </c>
      <c r="J256" s="13" t="s">
        <v>14</v>
      </c>
      <c r="K256" s="13" t="s">
        <v>15</v>
      </c>
      <c r="L256" s="13"/>
      <c r="M256" s="13" t="str">
        <f>HYPERLINK("http://www.stromypodkontrolou.cz/map/tree/eb9fcfc1-f6fa-405f-85c7-690b2fb79ecd/ccb9748d-169e-4485-a15e-40a32743ec32")</f>
        <v>http://www.stromypodkontrolou.cz/map/tree/eb9fcfc1-f6fa-405f-85c7-690b2fb79ecd/ccb9748d-169e-4485-a15e-40a32743ec32</v>
      </c>
      <c r="N256" s="5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</row>
    <row r="257" spans="1:14" s="3" customFormat="1" ht="45">
      <c r="A257" s="9">
        <v>253</v>
      </c>
      <c r="B257" s="10" t="s">
        <v>167</v>
      </c>
      <c r="C257" s="11">
        <v>465</v>
      </c>
      <c r="D257" s="10" t="s">
        <v>9</v>
      </c>
      <c r="E257" s="10" t="s">
        <v>10</v>
      </c>
      <c r="F257" s="10">
        <v>34</v>
      </c>
      <c r="G257" s="10">
        <v>12</v>
      </c>
      <c r="H257" s="10">
        <v>9</v>
      </c>
      <c r="I257" s="10"/>
      <c r="J257" s="10" t="s">
        <v>14</v>
      </c>
      <c r="K257" s="10" t="s">
        <v>15</v>
      </c>
      <c r="L257" s="10"/>
      <c r="M257" s="18" t="s">
        <v>275</v>
      </c>
      <c r="N257" s="53"/>
    </row>
    <row r="258" spans="1:207" s="15" customFormat="1" ht="22.5">
      <c r="A258" s="12">
        <v>254</v>
      </c>
      <c r="B258" s="46" t="s">
        <v>167</v>
      </c>
      <c r="C258" s="47">
        <v>469</v>
      </c>
      <c r="D258" s="46" t="s">
        <v>27</v>
      </c>
      <c r="E258" s="46" t="s">
        <v>28</v>
      </c>
      <c r="F258" s="46">
        <v>50</v>
      </c>
      <c r="G258" s="46">
        <v>18</v>
      </c>
      <c r="H258" s="46">
        <v>10</v>
      </c>
      <c r="I258" s="46"/>
      <c r="J258" s="16" t="s">
        <v>19</v>
      </c>
      <c r="K258" s="16" t="s">
        <v>20</v>
      </c>
      <c r="L258" s="43"/>
      <c r="M258" s="46" t="str">
        <f>HYPERLINK("http://www.stromypodkontrolou.cz/map/tree/eb9fcfc1-f6fa-405f-85c7-690b2fb79ecd/40713511-1ba1-43ba-99b1-01008aa9a0b9")</f>
        <v>http://www.stromypodkontrolou.cz/map/tree/eb9fcfc1-f6fa-405f-85c7-690b2fb79ecd/40713511-1ba1-43ba-99b1-01008aa9a0b9</v>
      </c>
      <c r="N258" s="5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</row>
    <row r="259" spans="1:207" s="15" customFormat="1" ht="22.5">
      <c r="A259" s="12">
        <v>255</v>
      </c>
      <c r="B259" s="46"/>
      <c r="C259" s="47"/>
      <c r="D259" s="46"/>
      <c r="E259" s="46"/>
      <c r="F259" s="46"/>
      <c r="G259" s="46"/>
      <c r="H259" s="46"/>
      <c r="I259" s="46"/>
      <c r="J259" s="16" t="s">
        <v>25</v>
      </c>
      <c r="K259" s="16" t="s">
        <v>26</v>
      </c>
      <c r="L259" s="43"/>
      <c r="M259" s="46"/>
      <c r="N259" s="5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</row>
    <row r="260" spans="1:14" s="3" customFormat="1" ht="45">
      <c r="A260" s="9">
        <v>256</v>
      </c>
      <c r="B260" s="10" t="s">
        <v>167</v>
      </c>
      <c r="C260" s="11">
        <v>473</v>
      </c>
      <c r="D260" s="10" t="s">
        <v>27</v>
      </c>
      <c r="E260" s="10" t="s">
        <v>28</v>
      </c>
      <c r="F260" s="10">
        <v>36</v>
      </c>
      <c r="G260" s="10">
        <v>16</v>
      </c>
      <c r="H260" s="10">
        <v>8</v>
      </c>
      <c r="I260" s="10"/>
      <c r="J260" s="10" t="s">
        <v>19</v>
      </c>
      <c r="K260" s="10" t="s">
        <v>20</v>
      </c>
      <c r="L260" s="10"/>
      <c r="M260" s="10" t="str">
        <f>HYPERLINK("http://www.stromypodkontrolou.cz/map/tree/eb9fcfc1-f6fa-405f-85c7-690b2fb79ecd/73cbccc9-8d5c-4cb5-9b50-17f23ec8cf47")</f>
        <v>http://www.stromypodkontrolou.cz/map/tree/eb9fcfc1-f6fa-405f-85c7-690b2fb79ecd/73cbccc9-8d5c-4cb5-9b50-17f23ec8cf47</v>
      </c>
      <c r="N260" s="53"/>
    </row>
    <row r="261" spans="1:207" s="15" customFormat="1" ht="22.5">
      <c r="A261" s="12">
        <v>257</v>
      </c>
      <c r="B261" s="46" t="s">
        <v>167</v>
      </c>
      <c r="C261" s="47">
        <v>486</v>
      </c>
      <c r="D261" s="46" t="s">
        <v>175</v>
      </c>
      <c r="E261" s="46" t="s">
        <v>176</v>
      </c>
      <c r="F261" s="46">
        <v>39</v>
      </c>
      <c r="G261" s="46">
        <v>16</v>
      </c>
      <c r="H261" s="46">
        <v>10</v>
      </c>
      <c r="I261" s="46"/>
      <c r="J261" s="16" t="s">
        <v>19</v>
      </c>
      <c r="K261" s="16" t="s">
        <v>20</v>
      </c>
      <c r="L261" s="16"/>
      <c r="M261" s="46" t="str">
        <f>HYPERLINK("http://www.stromypodkontrolou.cz/map/tree/eb9fcfc1-f6fa-405f-85c7-690b2fb79ecd/ddd53d30-b62d-4fc2-abe8-17e0e9aa41e2")</f>
        <v>http://www.stromypodkontrolou.cz/map/tree/eb9fcfc1-f6fa-405f-85c7-690b2fb79ecd/ddd53d30-b62d-4fc2-abe8-17e0e9aa41e2</v>
      </c>
      <c r="N261" s="5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</row>
    <row r="262" spans="1:207" s="15" customFormat="1" ht="33.75">
      <c r="A262" s="12">
        <v>258</v>
      </c>
      <c r="B262" s="46"/>
      <c r="C262" s="47"/>
      <c r="D262" s="46"/>
      <c r="E262" s="46"/>
      <c r="F262" s="46"/>
      <c r="G262" s="46"/>
      <c r="H262" s="46"/>
      <c r="I262" s="46"/>
      <c r="J262" s="16" t="s">
        <v>14</v>
      </c>
      <c r="K262" s="16" t="s">
        <v>15</v>
      </c>
      <c r="L262" s="16" t="s">
        <v>271</v>
      </c>
      <c r="M262" s="46"/>
      <c r="N262" s="5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</row>
    <row r="263" spans="1:14" s="3" customFormat="1" ht="45">
      <c r="A263" s="9">
        <v>259</v>
      </c>
      <c r="B263" s="10" t="s">
        <v>177</v>
      </c>
      <c r="C263" s="11">
        <v>32</v>
      </c>
      <c r="D263" s="10" t="s">
        <v>27</v>
      </c>
      <c r="E263" s="10" t="s">
        <v>28</v>
      </c>
      <c r="F263" s="10">
        <v>51</v>
      </c>
      <c r="G263" s="10">
        <v>18</v>
      </c>
      <c r="H263" s="10">
        <v>7</v>
      </c>
      <c r="I263" s="10"/>
      <c r="J263" s="10" t="s">
        <v>25</v>
      </c>
      <c r="K263" s="10" t="s">
        <v>26</v>
      </c>
      <c r="L263" s="10"/>
      <c r="M263" s="10" t="str">
        <f>HYPERLINK("http://www.stromypodkontrolou.cz/map/tree/eb9fcfc1-f6fa-405f-85c7-690b2fb79ecd/c47e93ec-973f-4d51-9c1c-03996ffa33aa")</f>
        <v>http://www.stromypodkontrolou.cz/map/tree/eb9fcfc1-f6fa-405f-85c7-690b2fb79ecd/c47e93ec-973f-4d51-9c1c-03996ffa33aa</v>
      </c>
      <c r="N263" s="53"/>
    </row>
    <row r="264" spans="1:207" s="15" customFormat="1" ht="12.75">
      <c r="A264" s="12">
        <v>260</v>
      </c>
      <c r="B264" s="46" t="s">
        <v>177</v>
      </c>
      <c r="C264" s="47">
        <v>34</v>
      </c>
      <c r="D264" s="46" t="s">
        <v>9</v>
      </c>
      <c r="E264" s="46" t="s">
        <v>10</v>
      </c>
      <c r="F264" s="46">
        <v>34</v>
      </c>
      <c r="G264" s="46">
        <v>14</v>
      </c>
      <c r="H264" s="46">
        <v>8</v>
      </c>
      <c r="I264" s="46" t="s">
        <v>268</v>
      </c>
      <c r="J264" s="16" t="s">
        <v>14</v>
      </c>
      <c r="K264" s="16" t="s">
        <v>15</v>
      </c>
      <c r="L264" s="16"/>
      <c r="M264" s="46" t="str">
        <f>HYPERLINK("http://www.stromypodkontrolou.cz/map/tree/eb9fcfc1-f6fa-405f-85c7-690b2fb79ecd/bf802290-c0f7-4408-a3af-876331d395c9")</f>
        <v>http://www.stromypodkontrolou.cz/map/tree/eb9fcfc1-f6fa-405f-85c7-690b2fb79ecd/bf802290-c0f7-4408-a3af-876331d395c9</v>
      </c>
      <c r="N264" s="5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</row>
    <row r="265" spans="1:207" s="15" customFormat="1" ht="25.5" customHeight="1">
      <c r="A265" s="12">
        <v>261</v>
      </c>
      <c r="B265" s="46" t="s">
        <v>177</v>
      </c>
      <c r="C265" s="47">
        <v>34</v>
      </c>
      <c r="D265" s="46" t="s">
        <v>9</v>
      </c>
      <c r="E265" s="46" t="s">
        <v>10</v>
      </c>
      <c r="F265" s="46">
        <v>34</v>
      </c>
      <c r="G265" s="46">
        <v>14</v>
      </c>
      <c r="H265" s="46">
        <v>8</v>
      </c>
      <c r="I265" s="46" t="s">
        <v>268</v>
      </c>
      <c r="J265" s="16" t="s">
        <v>12</v>
      </c>
      <c r="K265" s="16" t="s">
        <v>13</v>
      </c>
      <c r="L265" s="16" t="s">
        <v>17</v>
      </c>
      <c r="M265" s="46" t="str">
        <f>HYPERLINK("http://www.stromypodkontrolou.cz/map/tree/eb9fcfc1-f6fa-405f-85c7-690b2fb79ecd/bf802290-c0f7-4408-a3af-876331d395c9")</f>
        <v>http://www.stromypodkontrolou.cz/map/tree/eb9fcfc1-f6fa-405f-85c7-690b2fb79ecd/bf802290-c0f7-4408-a3af-876331d395c9</v>
      </c>
      <c r="N265" s="5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</row>
    <row r="266" spans="1:14" s="3" customFormat="1" ht="12.75">
      <c r="A266" s="9">
        <v>262</v>
      </c>
      <c r="B266" s="38" t="s">
        <v>177</v>
      </c>
      <c r="C266" s="41">
        <v>44</v>
      </c>
      <c r="D266" s="38" t="s">
        <v>9</v>
      </c>
      <c r="E266" s="38" t="s">
        <v>10</v>
      </c>
      <c r="F266" s="38">
        <v>31</v>
      </c>
      <c r="G266" s="38">
        <v>13</v>
      </c>
      <c r="H266" s="38">
        <v>9</v>
      </c>
      <c r="I266" s="38" t="s">
        <v>158</v>
      </c>
      <c r="J266" s="10" t="s">
        <v>14</v>
      </c>
      <c r="K266" s="10" t="s">
        <v>15</v>
      </c>
      <c r="L266" s="42"/>
      <c r="M266" s="38" t="str">
        <f>HYPERLINK("http://www.stromypodkontrolou.cz/map/tree/eb9fcfc1-f6fa-405f-85c7-690b2fb79ecd/d79dceb6-8f9e-4f7c-a071-61481e59f304")</f>
        <v>http://www.stromypodkontrolou.cz/map/tree/eb9fcfc1-f6fa-405f-85c7-690b2fb79ecd/d79dceb6-8f9e-4f7c-a071-61481e59f304</v>
      </c>
      <c r="N266" s="53"/>
    </row>
    <row r="267" spans="1:14" s="3" customFormat="1" ht="22.5">
      <c r="A267" s="9">
        <v>263</v>
      </c>
      <c r="B267" s="38"/>
      <c r="C267" s="41"/>
      <c r="D267" s="38"/>
      <c r="E267" s="38"/>
      <c r="F267" s="38"/>
      <c r="G267" s="38"/>
      <c r="H267" s="38"/>
      <c r="I267" s="38"/>
      <c r="J267" s="10" t="s">
        <v>19</v>
      </c>
      <c r="K267" s="10" t="s">
        <v>20</v>
      </c>
      <c r="L267" s="42"/>
      <c r="M267" s="38"/>
      <c r="N267" s="53"/>
    </row>
    <row r="268" spans="1:14" s="3" customFormat="1" ht="22.5">
      <c r="A268" s="9">
        <v>264</v>
      </c>
      <c r="B268" s="38" t="s">
        <v>177</v>
      </c>
      <c r="C268" s="41">
        <v>44</v>
      </c>
      <c r="D268" s="38" t="s">
        <v>9</v>
      </c>
      <c r="E268" s="38" t="s">
        <v>10</v>
      </c>
      <c r="F268" s="38">
        <v>31</v>
      </c>
      <c r="G268" s="38">
        <v>13</v>
      </c>
      <c r="H268" s="38">
        <v>9</v>
      </c>
      <c r="I268" s="38" t="s">
        <v>158</v>
      </c>
      <c r="J268" s="10" t="s">
        <v>12</v>
      </c>
      <c r="K268" s="10" t="s">
        <v>13</v>
      </c>
      <c r="L268" s="42"/>
      <c r="M268" s="38" t="str">
        <f>HYPERLINK("http://www.stromypodkontrolou.cz/map/tree/eb9fcfc1-f6fa-405f-85c7-690b2fb79ecd/d79dceb6-8f9e-4f7c-a071-61481e59f304")</f>
        <v>http://www.stromypodkontrolou.cz/map/tree/eb9fcfc1-f6fa-405f-85c7-690b2fb79ecd/d79dceb6-8f9e-4f7c-a071-61481e59f304</v>
      </c>
      <c r="N268" s="53"/>
    </row>
    <row r="269" spans="1:207" s="15" customFormat="1" ht="22.5">
      <c r="A269" s="12">
        <v>265</v>
      </c>
      <c r="B269" s="46" t="s">
        <v>177</v>
      </c>
      <c r="C269" s="47">
        <v>45</v>
      </c>
      <c r="D269" s="46" t="s">
        <v>9</v>
      </c>
      <c r="E269" s="46" t="s">
        <v>10</v>
      </c>
      <c r="F269" s="46">
        <v>39</v>
      </c>
      <c r="G269" s="46">
        <v>16</v>
      </c>
      <c r="H269" s="46">
        <v>10</v>
      </c>
      <c r="I269" s="46" t="s">
        <v>11</v>
      </c>
      <c r="J269" s="16" t="s">
        <v>12</v>
      </c>
      <c r="K269" s="16" t="s">
        <v>13</v>
      </c>
      <c r="L269" s="43"/>
      <c r="M269" s="46" t="str">
        <f>HYPERLINK("http://www.stromypodkontrolou.cz/map/tree/eb9fcfc1-f6fa-405f-85c7-690b2fb79ecd/b6dd2f3a-9e06-445c-b5b0-104fd997ddd9")</f>
        <v>http://www.stromypodkontrolou.cz/map/tree/eb9fcfc1-f6fa-405f-85c7-690b2fb79ecd/b6dd2f3a-9e06-445c-b5b0-104fd997ddd9</v>
      </c>
      <c r="N269" s="5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</row>
    <row r="270" spans="1:207" s="15" customFormat="1" ht="22.5">
      <c r="A270" s="12">
        <v>266</v>
      </c>
      <c r="B270" s="46"/>
      <c r="C270" s="47"/>
      <c r="D270" s="46"/>
      <c r="E270" s="46"/>
      <c r="F270" s="46"/>
      <c r="G270" s="46"/>
      <c r="H270" s="46"/>
      <c r="I270" s="46"/>
      <c r="J270" s="16" t="s">
        <v>19</v>
      </c>
      <c r="K270" s="16" t="s">
        <v>20</v>
      </c>
      <c r="L270" s="43"/>
      <c r="M270" s="46"/>
      <c r="N270" s="5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</row>
    <row r="271" spans="1:207" s="15" customFormat="1" ht="12.75">
      <c r="A271" s="12">
        <v>267</v>
      </c>
      <c r="B271" s="46" t="s">
        <v>177</v>
      </c>
      <c r="C271" s="47">
        <v>45</v>
      </c>
      <c r="D271" s="46" t="s">
        <v>9</v>
      </c>
      <c r="E271" s="46" t="s">
        <v>10</v>
      </c>
      <c r="F271" s="46">
        <v>39</v>
      </c>
      <c r="G271" s="46">
        <v>16</v>
      </c>
      <c r="H271" s="46">
        <v>10</v>
      </c>
      <c r="I271" s="46" t="s">
        <v>11</v>
      </c>
      <c r="J271" s="16" t="s">
        <v>14</v>
      </c>
      <c r="K271" s="16" t="s">
        <v>15</v>
      </c>
      <c r="L271" s="43"/>
      <c r="M271" s="46" t="str">
        <f>HYPERLINK("http://www.stromypodkontrolou.cz/map/tree/eb9fcfc1-f6fa-405f-85c7-690b2fb79ecd/b6dd2f3a-9e06-445c-b5b0-104fd997ddd9")</f>
        <v>http://www.stromypodkontrolou.cz/map/tree/eb9fcfc1-f6fa-405f-85c7-690b2fb79ecd/b6dd2f3a-9e06-445c-b5b0-104fd997ddd9</v>
      </c>
      <c r="N271" s="5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</row>
    <row r="272" spans="1:14" s="3" customFormat="1" ht="25.5" customHeight="1">
      <c r="A272" s="9">
        <v>268</v>
      </c>
      <c r="B272" s="38" t="s">
        <v>177</v>
      </c>
      <c r="C272" s="41">
        <v>61</v>
      </c>
      <c r="D272" s="38" t="s">
        <v>64</v>
      </c>
      <c r="E272" s="38" t="s">
        <v>65</v>
      </c>
      <c r="F272" s="38">
        <v>24</v>
      </c>
      <c r="G272" s="38">
        <v>14</v>
      </c>
      <c r="H272" s="38">
        <v>7</v>
      </c>
      <c r="I272" s="38" t="s">
        <v>23</v>
      </c>
      <c r="J272" s="10" t="s">
        <v>12</v>
      </c>
      <c r="K272" s="10" t="s">
        <v>13</v>
      </c>
      <c r="L272" s="10" t="s">
        <v>17</v>
      </c>
      <c r="M272" s="38" t="str">
        <f>HYPERLINK("http://www.stromypodkontrolou.cz/map/tree/eb9fcfc1-f6fa-405f-85c7-690b2fb79ecd/9afe1ad2-a947-4d32-9968-042cb52f4769")</f>
        <v>http://www.stromypodkontrolou.cz/map/tree/eb9fcfc1-f6fa-405f-85c7-690b2fb79ecd/9afe1ad2-a947-4d32-9968-042cb52f4769</v>
      </c>
      <c r="N272" s="53"/>
    </row>
    <row r="273" spans="1:14" s="3" customFormat="1" ht="22.5">
      <c r="A273" s="9">
        <v>269</v>
      </c>
      <c r="B273" s="38" t="s">
        <v>177</v>
      </c>
      <c r="C273" s="41">
        <v>61</v>
      </c>
      <c r="D273" s="38" t="s">
        <v>64</v>
      </c>
      <c r="E273" s="38" t="s">
        <v>65</v>
      </c>
      <c r="F273" s="38">
        <v>24</v>
      </c>
      <c r="G273" s="38">
        <v>14</v>
      </c>
      <c r="H273" s="38">
        <v>7</v>
      </c>
      <c r="I273" s="38" t="s">
        <v>23</v>
      </c>
      <c r="J273" s="10" t="s">
        <v>25</v>
      </c>
      <c r="K273" s="10" t="s">
        <v>26</v>
      </c>
      <c r="L273" s="42"/>
      <c r="M273" s="38" t="str">
        <f>HYPERLINK("http://www.stromypodkontrolou.cz/map/tree/eb9fcfc1-f6fa-405f-85c7-690b2fb79ecd/9afe1ad2-a947-4d32-9968-042cb52f4769")</f>
        <v>http://www.stromypodkontrolou.cz/map/tree/eb9fcfc1-f6fa-405f-85c7-690b2fb79ecd/9afe1ad2-a947-4d32-9968-042cb52f4769</v>
      </c>
      <c r="N273" s="53"/>
    </row>
    <row r="274" spans="1:14" s="3" customFormat="1" ht="14.25" customHeight="1">
      <c r="A274" s="9">
        <v>270</v>
      </c>
      <c r="B274" s="38" t="s">
        <v>177</v>
      </c>
      <c r="C274" s="41">
        <v>61</v>
      </c>
      <c r="D274" s="38" t="s">
        <v>64</v>
      </c>
      <c r="E274" s="38" t="s">
        <v>65</v>
      </c>
      <c r="F274" s="38">
        <v>24</v>
      </c>
      <c r="G274" s="38">
        <v>14</v>
      </c>
      <c r="H274" s="38">
        <v>7</v>
      </c>
      <c r="I274" s="38" t="s">
        <v>23</v>
      </c>
      <c r="J274" s="10" t="s">
        <v>14</v>
      </c>
      <c r="K274" s="10" t="s">
        <v>15</v>
      </c>
      <c r="L274" s="42"/>
      <c r="M274" s="38" t="str">
        <f>HYPERLINK("http://www.stromypodkontrolou.cz/map/tree/eb9fcfc1-f6fa-405f-85c7-690b2fb79ecd/9afe1ad2-a947-4d32-9968-042cb52f4769")</f>
        <v>http://www.stromypodkontrolou.cz/map/tree/eb9fcfc1-f6fa-405f-85c7-690b2fb79ecd/9afe1ad2-a947-4d32-9968-042cb52f4769</v>
      </c>
      <c r="N274" s="53"/>
    </row>
    <row r="275" spans="1:207" s="15" customFormat="1" ht="22.5">
      <c r="A275" s="12">
        <v>271</v>
      </c>
      <c r="B275" s="46" t="s">
        <v>177</v>
      </c>
      <c r="C275" s="47">
        <v>70</v>
      </c>
      <c r="D275" s="46" t="s">
        <v>64</v>
      </c>
      <c r="E275" s="46" t="s">
        <v>65</v>
      </c>
      <c r="F275" s="46">
        <v>26</v>
      </c>
      <c r="G275" s="46">
        <v>10</v>
      </c>
      <c r="H275" s="46">
        <v>7</v>
      </c>
      <c r="I275" s="46" t="s">
        <v>16</v>
      </c>
      <c r="J275" s="16" t="s">
        <v>25</v>
      </c>
      <c r="K275" s="16" t="s">
        <v>26</v>
      </c>
      <c r="L275" s="16" t="s">
        <v>57</v>
      </c>
      <c r="M275" s="46" t="str">
        <f>HYPERLINK("http://www.stromypodkontrolou.cz/map/tree/eb9fcfc1-f6fa-405f-85c7-690b2fb79ecd/9a75d9a7-50ba-462f-8092-7cc1f460d445")</f>
        <v>http://www.stromypodkontrolou.cz/map/tree/eb9fcfc1-f6fa-405f-85c7-690b2fb79ecd/9a75d9a7-50ba-462f-8092-7cc1f460d445</v>
      </c>
      <c r="N275" s="5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</row>
    <row r="276" spans="1:207" s="15" customFormat="1" ht="25.5" customHeight="1">
      <c r="A276" s="12">
        <v>272</v>
      </c>
      <c r="B276" s="46" t="s">
        <v>177</v>
      </c>
      <c r="C276" s="47">
        <v>70</v>
      </c>
      <c r="D276" s="46" t="s">
        <v>64</v>
      </c>
      <c r="E276" s="46" t="s">
        <v>65</v>
      </c>
      <c r="F276" s="46">
        <v>26</v>
      </c>
      <c r="G276" s="46">
        <v>10</v>
      </c>
      <c r="H276" s="46">
        <v>7</v>
      </c>
      <c r="I276" s="46" t="s">
        <v>16</v>
      </c>
      <c r="J276" s="16" t="s">
        <v>12</v>
      </c>
      <c r="K276" s="16" t="s">
        <v>13</v>
      </c>
      <c r="L276" s="16" t="s">
        <v>17</v>
      </c>
      <c r="M276" s="46" t="str">
        <f>HYPERLINK("http://www.stromypodkontrolou.cz/map/tree/eb9fcfc1-f6fa-405f-85c7-690b2fb79ecd/9a75d9a7-50ba-462f-8092-7cc1f460d445")</f>
        <v>http://www.stromypodkontrolou.cz/map/tree/eb9fcfc1-f6fa-405f-85c7-690b2fb79ecd/9a75d9a7-50ba-462f-8092-7cc1f460d445</v>
      </c>
      <c r="N276" s="5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</row>
    <row r="277" spans="1:14" s="3" customFormat="1" ht="25.5" customHeight="1">
      <c r="A277" s="9">
        <v>273</v>
      </c>
      <c r="B277" s="38" t="s">
        <v>177</v>
      </c>
      <c r="C277" s="41">
        <v>74</v>
      </c>
      <c r="D277" s="38" t="s">
        <v>64</v>
      </c>
      <c r="E277" s="38" t="s">
        <v>65</v>
      </c>
      <c r="F277" s="38">
        <v>24</v>
      </c>
      <c r="G277" s="38">
        <v>15</v>
      </c>
      <c r="H277" s="38">
        <v>9</v>
      </c>
      <c r="I277" s="38" t="s">
        <v>23</v>
      </c>
      <c r="J277" s="10" t="s">
        <v>12</v>
      </c>
      <c r="K277" s="10" t="s">
        <v>13</v>
      </c>
      <c r="L277" s="10" t="s">
        <v>17</v>
      </c>
      <c r="M277" s="38" t="str">
        <f>HYPERLINK("http://www.stromypodkontrolou.cz/map/tree/eb9fcfc1-f6fa-405f-85c7-690b2fb79ecd/591fb24d-b079-439c-8c6d-9d7e4b32db4f")</f>
        <v>http://www.stromypodkontrolou.cz/map/tree/eb9fcfc1-f6fa-405f-85c7-690b2fb79ecd/591fb24d-b079-439c-8c6d-9d7e4b32db4f</v>
      </c>
      <c r="N277" s="53"/>
    </row>
    <row r="278" spans="1:14" s="3" customFormat="1" ht="12.75">
      <c r="A278" s="9">
        <v>274</v>
      </c>
      <c r="B278" s="38" t="s">
        <v>177</v>
      </c>
      <c r="C278" s="41">
        <v>74</v>
      </c>
      <c r="D278" s="38" t="s">
        <v>64</v>
      </c>
      <c r="E278" s="38" t="s">
        <v>65</v>
      </c>
      <c r="F278" s="38">
        <v>24</v>
      </c>
      <c r="G278" s="38">
        <v>15</v>
      </c>
      <c r="H278" s="38">
        <v>9</v>
      </c>
      <c r="I278" s="38" t="s">
        <v>23</v>
      </c>
      <c r="J278" s="10" t="s">
        <v>14</v>
      </c>
      <c r="K278" s="10" t="s">
        <v>15</v>
      </c>
      <c r="L278" s="10"/>
      <c r="M278" s="38" t="str">
        <f>HYPERLINK("http://www.stromypodkontrolou.cz/map/tree/eb9fcfc1-f6fa-405f-85c7-690b2fb79ecd/591fb24d-b079-439c-8c6d-9d7e4b32db4f")</f>
        <v>http://www.stromypodkontrolou.cz/map/tree/eb9fcfc1-f6fa-405f-85c7-690b2fb79ecd/591fb24d-b079-439c-8c6d-9d7e4b32db4f</v>
      </c>
      <c r="N278" s="53"/>
    </row>
    <row r="279" spans="1:207" s="15" customFormat="1" ht="22.5">
      <c r="A279" s="12">
        <v>275</v>
      </c>
      <c r="B279" s="46" t="s">
        <v>177</v>
      </c>
      <c r="C279" s="47">
        <v>75</v>
      </c>
      <c r="D279" s="46" t="s">
        <v>27</v>
      </c>
      <c r="E279" s="46" t="s">
        <v>28</v>
      </c>
      <c r="F279" s="46">
        <v>52</v>
      </c>
      <c r="G279" s="46">
        <v>16</v>
      </c>
      <c r="H279" s="46">
        <v>12</v>
      </c>
      <c r="I279" s="46"/>
      <c r="J279" s="16" t="s">
        <v>25</v>
      </c>
      <c r="K279" s="16" t="s">
        <v>26</v>
      </c>
      <c r="L279" s="16"/>
      <c r="M279" s="46" t="str">
        <f>HYPERLINK("http://www.stromypodkontrolou.cz/map/tree/eb9fcfc1-f6fa-405f-85c7-690b2fb79ecd/82b620b1-924e-4208-b7af-ac95d6859bc8")</f>
        <v>http://www.stromypodkontrolou.cz/map/tree/eb9fcfc1-f6fa-405f-85c7-690b2fb79ecd/82b620b1-924e-4208-b7af-ac95d6859bc8</v>
      </c>
      <c r="N279" s="5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</row>
    <row r="280" spans="1:207" s="15" customFormat="1" ht="22.5">
      <c r="A280" s="12">
        <v>276</v>
      </c>
      <c r="B280" s="46" t="s">
        <v>177</v>
      </c>
      <c r="C280" s="47">
        <v>75</v>
      </c>
      <c r="D280" s="46" t="s">
        <v>27</v>
      </c>
      <c r="E280" s="46" t="s">
        <v>28</v>
      </c>
      <c r="F280" s="46">
        <v>52</v>
      </c>
      <c r="G280" s="46">
        <v>16</v>
      </c>
      <c r="H280" s="46">
        <v>12</v>
      </c>
      <c r="I280" s="46"/>
      <c r="J280" s="16" t="s">
        <v>12</v>
      </c>
      <c r="K280" s="16" t="s">
        <v>13</v>
      </c>
      <c r="L280" s="16" t="s">
        <v>22</v>
      </c>
      <c r="M280" s="46" t="str">
        <f>HYPERLINK("http://www.stromypodkontrolou.cz/map/tree/eb9fcfc1-f6fa-405f-85c7-690b2fb79ecd/82b620b1-924e-4208-b7af-ac95d6859bc8")</f>
        <v>http://www.stromypodkontrolou.cz/map/tree/eb9fcfc1-f6fa-405f-85c7-690b2fb79ecd/82b620b1-924e-4208-b7af-ac95d6859bc8</v>
      </c>
      <c r="N280" s="5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</row>
    <row r="281" spans="1:14" s="3" customFormat="1" ht="12.75" customHeight="1">
      <c r="A281" s="9">
        <v>277</v>
      </c>
      <c r="B281" s="10" t="s">
        <v>177</v>
      </c>
      <c r="C281" s="11">
        <v>85</v>
      </c>
      <c r="D281" s="10" t="s">
        <v>9</v>
      </c>
      <c r="E281" s="10" t="s">
        <v>10</v>
      </c>
      <c r="F281" s="10">
        <v>30</v>
      </c>
      <c r="G281" s="10">
        <v>16</v>
      </c>
      <c r="H281" s="10">
        <v>7</v>
      </c>
      <c r="I281" s="10"/>
      <c r="J281" s="10" t="s">
        <v>14</v>
      </c>
      <c r="K281" s="10" t="s">
        <v>15</v>
      </c>
      <c r="L281" s="10"/>
      <c r="M281" s="10" t="str">
        <f>HYPERLINK("http://www.stromypodkontrolou.cz/map/tree/eb9fcfc1-f6fa-405f-85c7-690b2fb79ecd/08dddc19-5dc1-4b50-9cd4-f40abd366eac")</f>
        <v>http://www.stromypodkontrolou.cz/map/tree/eb9fcfc1-f6fa-405f-85c7-690b2fb79ecd/08dddc19-5dc1-4b50-9cd4-f40abd366eac</v>
      </c>
      <c r="N281" s="53"/>
    </row>
    <row r="282" spans="1:207" s="15" customFormat="1" ht="12.75">
      <c r="A282" s="12">
        <v>278</v>
      </c>
      <c r="B282" s="46" t="s">
        <v>177</v>
      </c>
      <c r="C282" s="47">
        <v>89</v>
      </c>
      <c r="D282" s="46" t="s">
        <v>9</v>
      </c>
      <c r="E282" s="46" t="s">
        <v>10</v>
      </c>
      <c r="F282" s="46">
        <v>41</v>
      </c>
      <c r="G282" s="46">
        <v>18</v>
      </c>
      <c r="H282" s="46">
        <v>11</v>
      </c>
      <c r="I282" s="46"/>
      <c r="J282" s="16" t="s">
        <v>14</v>
      </c>
      <c r="K282" s="16" t="s">
        <v>15</v>
      </c>
      <c r="L282" s="43"/>
      <c r="M282" s="46" t="s">
        <v>283</v>
      </c>
      <c r="N282" s="5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</row>
    <row r="283" spans="1:207" s="15" customFormat="1" ht="22.5">
      <c r="A283" s="12">
        <v>279</v>
      </c>
      <c r="B283" s="46"/>
      <c r="C283" s="47"/>
      <c r="D283" s="46"/>
      <c r="E283" s="46"/>
      <c r="F283" s="46"/>
      <c r="G283" s="46"/>
      <c r="H283" s="46"/>
      <c r="I283" s="46"/>
      <c r="J283" s="16" t="s">
        <v>19</v>
      </c>
      <c r="K283" s="16" t="s">
        <v>20</v>
      </c>
      <c r="L283" s="43"/>
      <c r="M283" s="46"/>
      <c r="N283" s="5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</row>
    <row r="284" spans="1:14" s="3" customFormat="1" ht="22.5">
      <c r="A284" s="9">
        <v>280</v>
      </c>
      <c r="B284" s="38" t="s">
        <v>177</v>
      </c>
      <c r="C284" s="41">
        <v>91</v>
      </c>
      <c r="D284" s="38" t="s">
        <v>9</v>
      </c>
      <c r="E284" s="38" t="s">
        <v>10</v>
      </c>
      <c r="F284" s="38">
        <v>32</v>
      </c>
      <c r="G284" s="38">
        <v>16</v>
      </c>
      <c r="H284" s="38">
        <v>8</v>
      </c>
      <c r="I284" s="38"/>
      <c r="J284" s="10" t="s">
        <v>19</v>
      </c>
      <c r="K284" s="10" t="s">
        <v>20</v>
      </c>
      <c r="L284" s="42"/>
      <c r="M284" s="38" t="str">
        <f>HYPERLINK("http://www.stromypodkontrolou.cz/map/tree/eb9fcfc1-f6fa-405f-85c7-690b2fb79ecd/15438d1c-d2d2-489c-b336-8729232d054f")</f>
        <v>http://www.stromypodkontrolou.cz/map/tree/eb9fcfc1-f6fa-405f-85c7-690b2fb79ecd/15438d1c-d2d2-489c-b336-8729232d054f</v>
      </c>
      <c r="N284" s="53"/>
    </row>
    <row r="285" spans="1:14" s="3" customFormat="1" ht="12.75">
      <c r="A285" s="9">
        <v>281</v>
      </c>
      <c r="B285" s="38" t="s">
        <v>177</v>
      </c>
      <c r="C285" s="41">
        <v>91</v>
      </c>
      <c r="D285" s="38" t="s">
        <v>9</v>
      </c>
      <c r="E285" s="38" t="s">
        <v>10</v>
      </c>
      <c r="F285" s="38">
        <v>32</v>
      </c>
      <c r="G285" s="38">
        <v>16</v>
      </c>
      <c r="H285" s="38">
        <v>8</v>
      </c>
      <c r="I285" s="38"/>
      <c r="J285" s="10" t="s">
        <v>14</v>
      </c>
      <c r="K285" s="10" t="s">
        <v>15</v>
      </c>
      <c r="L285" s="42"/>
      <c r="M285" s="38" t="str">
        <f>HYPERLINK("http://www.stromypodkontrolou.cz/map/tree/eb9fcfc1-f6fa-405f-85c7-690b2fb79ecd/15438d1c-d2d2-489c-b336-8729232d054f")</f>
        <v>http://www.stromypodkontrolou.cz/map/tree/eb9fcfc1-f6fa-405f-85c7-690b2fb79ecd/15438d1c-d2d2-489c-b336-8729232d054f</v>
      </c>
      <c r="N285" s="53"/>
    </row>
    <row r="286" spans="1:207" s="15" customFormat="1" ht="22.5">
      <c r="A286" s="12">
        <v>282</v>
      </c>
      <c r="B286" s="46" t="s">
        <v>177</v>
      </c>
      <c r="C286" s="47">
        <v>92</v>
      </c>
      <c r="D286" s="46" t="s">
        <v>9</v>
      </c>
      <c r="E286" s="46" t="s">
        <v>10</v>
      </c>
      <c r="F286" s="46">
        <v>42</v>
      </c>
      <c r="G286" s="46">
        <v>15</v>
      </c>
      <c r="H286" s="46">
        <v>11</v>
      </c>
      <c r="I286" s="46" t="s">
        <v>103</v>
      </c>
      <c r="J286" s="16" t="s">
        <v>12</v>
      </c>
      <c r="K286" s="16" t="s">
        <v>13</v>
      </c>
      <c r="L286" s="43"/>
      <c r="M286" s="46" t="str">
        <f>HYPERLINK("http://www.stromypodkontrolou.cz/map/tree/eb9fcfc1-f6fa-405f-85c7-690b2fb79ecd/3f71c824-bc62-481e-9d74-645f2791e732")</f>
        <v>http://www.stromypodkontrolou.cz/map/tree/eb9fcfc1-f6fa-405f-85c7-690b2fb79ecd/3f71c824-bc62-481e-9d74-645f2791e732</v>
      </c>
      <c r="N286" s="5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</row>
    <row r="287" spans="1:207" s="15" customFormat="1" ht="12.75">
      <c r="A287" s="12">
        <v>283</v>
      </c>
      <c r="B287" s="46" t="s">
        <v>177</v>
      </c>
      <c r="C287" s="47">
        <v>92</v>
      </c>
      <c r="D287" s="46" t="s">
        <v>9</v>
      </c>
      <c r="E287" s="46" t="s">
        <v>10</v>
      </c>
      <c r="F287" s="46">
        <v>42</v>
      </c>
      <c r="G287" s="46">
        <v>15</v>
      </c>
      <c r="H287" s="46">
        <v>11</v>
      </c>
      <c r="I287" s="46" t="s">
        <v>103</v>
      </c>
      <c r="J287" s="16" t="s">
        <v>14</v>
      </c>
      <c r="K287" s="16" t="s">
        <v>15</v>
      </c>
      <c r="L287" s="43"/>
      <c r="M287" s="46" t="str">
        <f>HYPERLINK("http://www.stromypodkontrolou.cz/map/tree/eb9fcfc1-f6fa-405f-85c7-690b2fb79ecd/3f71c824-bc62-481e-9d74-645f2791e732")</f>
        <v>http://www.stromypodkontrolou.cz/map/tree/eb9fcfc1-f6fa-405f-85c7-690b2fb79ecd/3f71c824-bc62-481e-9d74-645f2791e732</v>
      </c>
      <c r="N287" s="5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</row>
    <row r="288" spans="1:14" s="3" customFormat="1" ht="45">
      <c r="A288" s="9">
        <v>284</v>
      </c>
      <c r="B288" s="10" t="s">
        <v>177</v>
      </c>
      <c r="C288" s="11">
        <v>122</v>
      </c>
      <c r="D288" s="10" t="s">
        <v>302</v>
      </c>
      <c r="E288" s="10" t="s">
        <v>303</v>
      </c>
      <c r="F288" s="10">
        <v>15</v>
      </c>
      <c r="G288" s="10">
        <v>8</v>
      </c>
      <c r="H288" s="10">
        <v>2</v>
      </c>
      <c r="I288" s="10"/>
      <c r="J288" s="10" t="s">
        <v>25</v>
      </c>
      <c r="K288" s="10" t="s">
        <v>26</v>
      </c>
      <c r="L288" s="10"/>
      <c r="M288" s="10" t="s">
        <v>304</v>
      </c>
      <c r="N288" s="53"/>
    </row>
    <row r="289" spans="1:207" s="15" customFormat="1" ht="45">
      <c r="A289" s="12">
        <v>285</v>
      </c>
      <c r="B289" s="16" t="s">
        <v>177</v>
      </c>
      <c r="C289" s="14">
        <v>123</v>
      </c>
      <c r="D289" s="16" t="s">
        <v>302</v>
      </c>
      <c r="E289" s="16" t="s">
        <v>303</v>
      </c>
      <c r="F289" s="16">
        <v>12</v>
      </c>
      <c r="G289" s="16">
        <v>7</v>
      </c>
      <c r="H289" s="16">
        <v>2</v>
      </c>
      <c r="I289" s="16"/>
      <c r="J289" s="16" t="s">
        <v>25</v>
      </c>
      <c r="K289" s="16" t="s">
        <v>26</v>
      </c>
      <c r="L289" s="16"/>
      <c r="M289" s="16" t="s">
        <v>305</v>
      </c>
      <c r="N289" s="5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</row>
    <row r="290" spans="1:14" s="3" customFormat="1" ht="45">
      <c r="A290" s="9">
        <v>286</v>
      </c>
      <c r="B290" s="10" t="s">
        <v>177</v>
      </c>
      <c r="C290" s="11">
        <v>124</v>
      </c>
      <c r="D290" s="10" t="s">
        <v>302</v>
      </c>
      <c r="E290" s="10" t="s">
        <v>303</v>
      </c>
      <c r="F290" s="10">
        <v>14</v>
      </c>
      <c r="G290" s="10">
        <v>8</v>
      </c>
      <c r="H290" s="10">
        <v>2</v>
      </c>
      <c r="I290" s="10"/>
      <c r="J290" s="10" t="s">
        <v>25</v>
      </c>
      <c r="K290" s="10" t="s">
        <v>26</v>
      </c>
      <c r="L290" s="10"/>
      <c r="M290" s="10" t="s">
        <v>306</v>
      </c>
      <c r="N290" s="53"/>
    </row>
    <row r="291" spans="1:207" s="15" customFormat="1" ht="45">
      <c r="A291" s="12">
        <v>287</v>
      </c>
      <c r="B291" s="16" t="s">
        <v>177</v>
      </c>
      <c r="C291" s="14">
        <v>125</v>
      </c>
      <c r="D291" s="16" t="s">
        <v>302</v>
      </c>
      <c r="E291" s="16" t="s">
        <v>303</v>
      </c>
      <c r="F291" s="16">
        <v>15</v>
      </c>
      <c r="G291" s="16">
        <v>8</v>
      </c>
      <c r="H291" s="16">
        <v>2</v>
      </c>
      <c r="I291" s="16"/>
      <c r="J291" s="16" t="s">
        <v>25</v>
      </c>
      <c r="K291" s="16" t="s">
        <v>26</v>
      </c>
      <c r="L291" s="16"/>
      <c r="M291" s="16" t="s">
        <v>307</v>
      </c>
      <c r="N291" s="5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</row>
    <row r="292" spans="1:14" s="3" customFormat="1" ht="45">
      <c r="A292" s="9">
        <v>288</v>
      </c>
      <c r="B292" s="10" t="s">
        <v>177</v>
      </c>
      <c r="C292" s="11">
        <v>126</v>
      </c>
      <c r="D292" s="10" t="s">
        <v>302</v>
      </c>
      <c r="E292" s="10" t="s">
        <v>303</v>
      </c>
      <c r="F292" s="10">
        <v>15</v>
      </c>
      <c r="G292" s="10">
        <v>8</v>
      </c>
      <c r="H292" s="10">
        <v>2</v>
      </c>
      <c r="I292" s="10"/>
      <c r="J292" s="10" t="s">
        <v>25</v>
      </c>
      <c r="K292" s="10" t="s">
        <v>26</v>
      </c>
      <c r="L292" s="10"/>
      <c r="M292" s="10" t="s">
        <v>308</v>
      </c>
      <c r="N292" s="53"/>
    </row>
    <row r="293" spans="1:207" s="15" customFormat="1" ht="45">
      <c r="A293" s="12">
        <v>289</v>
      </c>
      <c r="B293" s="16" t="s">
        <v>177</v>
      </c>
      <c r="C293" s="14">
        <v>127</v>
      </c>
      <c r="D293" s="16" t="s">
        <v>302</v>
      </c>
      <c r="E293" s="16" t="s">
        <v>303</v>
      </c>
      <c r="F293" s="16">
        <v>13</v>
      </c>
      <c r="G293" s="16">
        <v>7</v>
      </c>
      <c r="H293" s="16">
        <v>1</v>
      </c>
      <c r="I293" s="16"/>
      <c r="J293" s="16" t="s">
        <v>25</v>
      </c>
      <c r="K293" s="16" t="s">
        <v>26</v>
      </c>
      <c r="L293" s="16"/>
      <c r="M293" s="16" t="s">
        <v>309</v>
      </c>
      <c r="N293" s="5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</row>
    <row r="294" spans="1:14" s="3" customFormat="1" ht="45">
      <c r="A294" s="9">
        <v>290</v>
      </c>
      <c r="B294" s="10" t="s">
        <v>177</v>
      </c>
      <c r="C294" s="11">
        <v>128</v>
      </c>
      <c r="D294" s="10" t="s">
        <v>302</v>
      </c>
      <c r="E294" s="10" t="s">
        <v>303</v>
      </c>
      <c r="F294" s="10">
        <v>13</v>
      </c>
      <c r="G294" s="10">
        <v>7</v>
      </c>
      <c r="H294" s="10">
        <v>2</v>
      </c>
      <c r="I294" s="10"/>
      <c r="J294" s="10" t="s">
        <v>25</v>
      </c>
      <c r="K294" s="10" t="s">
        <v>26</v>
      </c>
      <c r="L294" s="10"/>
      <c r="M294" s="10" t="s">
        <v>310</v>
      </c>
      <c r="N294" s="53"/>
    </row>
    <row r="295" spans="1:207" s="15" customFormat="1" ht="45">
      <c r="A295" s="12">
        <v>291</v>
      </c>
      <c r="B295" s="16" t="s">
        <v>177</v>
      </c>
      <c r="C295" s="14">
        <v>129</v>
      </c>
      <c r="D295" s="16" t="s">
        <v>302</v>
      </c>
      <c r="E295" s="16" t="s">
        <v>303</v>
      </c>
      <c r="F295" s="16">
        <v>16</v>
      </c>
      <c r="G295" s="16">
        <v>9</v>
      </c>
      <c r="H295" s="16">
        <v>2</v>
      </c>
      <c r="I295" s="16"/>
      <c r="J295" s="16" t="s">
        <v>25</v>
      </c>
      <c r="K295" s="16" t="s">
        <v>26</v>
      </c>
      <c r="L295" s="16"/>
      <c r="M295" s="16" t="s">
        <v>311</v>
      </c>
      <c r="N295" s="5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</row>
    <row r="296" spans="1:14" s="3" customFormat="1" ht="45">
      <c r="A296" s="9">
        <v>292</v>
      </c>
      <c r="B296" s="10" t="s">
        <v>177</v>
      </c>
      <c r="C296" s="11">
        <v>130</v>
      </c>
      <c r="D296" s="10" t="s">
        <v>302</v>
      </c>
      <c r="E296" s="10" t="s">
        <v>303</v>
      </c>
      <c r="F296" s="10">
        <v>18</v>
      </c>
      <c r="G296" s="10">
        <v>8</v>
      </c>
      <c r="H296" s="10">
        <v>5</v>
      </c>
      <c r="I296" s="10"/>
      <c r="J296" s="10" t="s">
        <v>25</v>
      </c>
      <c r="K296" s="10" t="s">
        <v>26</v>
      </c>
      <c r="L296" s="10"/>
      <c r="M296" s="10" t="s">
        <v>312</v>
      </c>
      <c r="N296" s="53"/>
    </row>
    <row r="297" spans="1:207" s="15" customFormat="1" ht="45">
      <c r="A297" s="12">
        <v>293</v>
      </c>
      <c r="B297" s="16" t="s">
        <v>177</v>
      </c>
      <c r="C297" s="14">
        <v>131</v>
      </c>
      <c r="D297" s="16" t="s">
        <v>302</v>
      </c>
      <c r="E297" s="16" t="s">
        <v>303</v>
      </c>
      <c r="F297" s="16">
        <v>14</v>
      </c>
      <c r="G297" s="16">
        <v>8</v>
      </c>
      <c r="H297" s="16">
        <v>2</v>
      </c>
      <c r="I297" s="16"/>
      <c r="J297" s="16" t="s">
        <v>25</v>
      </c>
      <c r="K297" s="16" t="s">
        <v>26</v>
      </c>
      <c r="L297" s="16"/>
      <c r="M297" s="16" t="s">
        <v>313</v>
      </c>
      <c r="N297" s="5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</row>
    <row r="298" spans="1:14" s="3" customFormat="1" ht="45">
      <c r="A298" s="9">
        <v>294</v>
      </c>
      <c r="B298" s="10" t="s">
        <v>177</v>
      </c>
      <c r="C298" s="11">
        <v>145</v>
      </c>
      <c r="D298" s="10" t="s">
        <v>27</v>
      </c>
      <c r="E298" s="10" t="s">
        <v>28</v>
      </c>
      <c r="F298" s="10">
        <v>40</v>
      </c>
      <c r="G298" s="10">
        <v>20</v>
      </c>
      <c r="H298" s="10">
        <v>9</v>
      </c>
      <c r="I298" s="10"/>
      <c r="J298" s="10" t="s">
        <v>19</v>
      </c>
      <c r="K298" s="10" t="s">
        <v>20</v>
      </c>
      <c r="L298" s="10"/>
      <c r="M298" s="10" t="str">
        <f>HYPERLINK("http://www.stromypodkontrolou.cz/map/tree/eb9fcfc1-f6fa-405f-85c7-690b2fb79ecd/c90fe839-ade3-4774-9be4-470b4ae9dc5a")</f>
        <v>http://www.stromypodkontrolou.cz/map/tree/eb9fcfc1-f6fa-405f-85c7-690b2fb79ecd/c90fe839-ade3-4774-9be4-470b4ae9dc5a</v>
      </c>
      <c r="N298" s="53"/>
    </row>
    <row r="299" spans="1:207" s="15" customFormat="1" ht="22.5">
      <c r="A299" s="12">
        <v>295</v>
      </c>
      <c r="B299" s="46" t="s">
        <v>177</v>
      </c>
      <c r="C299" s="47">
        <v>148</v>
      </c>
      <c r="D299" s="46" t="s">
        <v>27</v>
      </c>
      <c r="E299" s="46" t="s">
        <v>28</v>
      </c>
      <c r="F299" s="46">
        <v>30</v>
      </c>
      <c r="G299" s="46"/>
      <c r="H299" s="46"/>
      <c r="I299" s="46"/>
      <c r="J299" s="16" t="s">
        <v>12</v>
      </c>
      <c r="K299" s="16" t="s">
        <v>13</v>
      </c>
      <c r="L299" s="43"/>
      <c r="M299" s="46" t="s">
        <v>284</v>
      </c>
      <c r="N299" s="5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</row>
    <row r="300" spans="1:207" s="15" customFormat="1" ht="22.5">
      <c r="A300" s="12">
        <v>296</v>
      </c>
      <c r="B300" s="46" t="s">
        <v>177</v>
      </c>
      <c r="C300" s="47">
        <v>149</v>
      </c>
      <c r="D300" s="46" t="s">
        <v>27</v>
      </c>
      <c r="E300" s="46" t="s">
        <v>28</v>
      </c>
      <c r="F300" s="46">
        <v>30</v>
      </c>
      <c r="G300" s="46">
        <v>19</v>
      </c>
      <c r="H300" s="46">
        <v>8</v>
      </c>
      <c r="I300" s="46"/>
      <c r="J300" s="16" t="s">
        <v>19</v>
      </c>
      <c r="K300" s="16" t="s">
        <v>20</v>
      </c>
      <c r="L300" s="43"/>
      <c r="M300" s="46"/>
      <c r="N300" s="5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</row>
    <row r="301" spans="1:14" s="3" customFormat="1" ht="22.5">
      <c r="A301" s="9">
        <v>297</v>
      </c>
      <c r="B301" s="38" t="s">
        <v>177</v>
      </c>
      <c r="C301" s="41">
        <v>149</v>
      </c>
      <c r="D301" s="38" t="s">
        <v>27</v>
      </c>
      <c r="E301" s="38" t="s">
        <v>28</v>
      </c>
      <c r="F301" s="38">
        <v>35</v>
      </c>
      <c r="G301" s="38">
        <v>17</v>
      </c>
      <c r="H301" s="38">
        <v>7</v>
      </c>
      <c r="I301" s="38"/>
      <c r="J301" s="10" t="s">
        <v>25</v>
      </c>
      <c r="K301" s="10" t="s">
        <v>26</v>
      </c>
      <c r="L301" s="10" t="s">
        <v>57</v>
      </c>
      <c r="M301" s="38" t="str">
        <f>HYPERLINK("http://www.stromypodkontrolou.cz/map/tree/eb9fcfc1-f6fa-405f-85c7-690b2fb79ecd/b7f8a2db-66b1-4a0f-8941-08c62b97ca5d")</f>
        <v>http://www.stromypodkontrolou.cz/map/tree/eb9fcfc1-f6fa-405f-85c7-690b2fb79ecd/b7f8a2db-66b1-4a0f-8941-08c62b97ca5d</v>
      </c>
      <c r="N301" s="53"/>
    </row>
    <row r="302" spans="1:14" s="3" customFormat="1" ht="22.5">
      <c r="A302" s="9">
        <v>298</v>
      </c>
      <c r="B302" s="38" t="s">
        <v>177</v>
      </c>
      <c r="C302" s="41">
        <v>149</v>
      </c>
      <c r="D302" s="38" t="s">
        <v>27</v>
      </c>
      <c r="E302" s="38" t="s">
        <v>28</v>
      </c>
      <c r="F302" s="38">
        <v>35</v>
      </c>
      <c r="G302" s="38">
        <v>17</v>
      </c>
      <c r="H302" s="38">
        <v>7</v>
      </c>
      <c r="I302" s="38"/>
      <c r="J302" s="10" t="s">
        <v>19</v>
      </c>
      <c r="K302" s="10" t="s">
        <v>20</v>
      </c>
      <c r="L302" s="10"/>
      <c r="M302" s="38" t="str">
        <f>HYPERLINK("http://www.stromypodkontrolou.cz/map/tree/eb9fcfc1-f6fa-405f-85c7-690b2fb79ecd/b7f8a2db-66b1-4a0f-8941-08c62b97ca5d")</f>
        <v>http://www.stromypodkontrolou.cz/map/tree/eb9fcfc1-f6fa-405f-85c7-690b2fb79ecd/b7f8a2db-66b1-4a0f-8941-08c62b97ca5d</v>
      </c>
      <c r="N302" s="53"/>
    </row>
    <row r="303" spans="1:207" s="15" customFormat="1" ht="45">
      <c r="A303" s="12">
        <v>299</v>
      </c>
      <c r="B303" s="16" t="s">
        <v>177</v>
      </c>
      <c r="C303" s="14">
        <v>156</v>
      </c>
      <c r="D303" s="16" t="s">
        <v>27</v>
      </c>
      <c r="E303" s="16" t="s">
        <v>28</v>
      </c>
      <c r="F303" s="16">
        <v>43</v>
      </c>
      <c r="G303" s="16">
        <v>18</v>
      </c>
      <c r="H303" s="16">
        <v>11</v>
      </c>
      <c r="I303" s="16" t="s">
        <v>165</v>
      </c>
      <c r="J303" s="16" t="s">
        <v>25</v>
      </c>
      <c r="K303" s="16" t="s">
        <v>26</v>
      </c>
      <c r="L303" s="16" t="s">
        <v>111</v>
      </c>
      <c r="M303" s="16" t="str">
        <f>HYPERLINK("http://www.stromypodkontrolou.cz/map/tree/eb9fcfc1-f6fa-405f-85c7-690b2fb79ecd/ff3ef42e-3ac8-437c-a979-077fc303c2a7")</f>
        <v>http://www.stromypodkontrolou.cz/map/tree/eb9fcfc1-f6fa-405f-85c7-690b2fb79ecd/ff3ef42e-3ac8-437c-a979-077fc303c2a7</v>
      </c>
      <c r="N303" s="5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</row>
    <row r="304" spans="1:14" s="3" customFormat="1" ht="45">
      <c r="A304" s="9">
        <v>300</v>
      </c>
      <c r="B304" s="10" t="s">
        <v>179</v>
      </c>
      <c r="C304" s="11">
        <v>80</v>
      </c>
      <c r="D304" s="10" t="s">
        <v>27</v>
      </c>
      <c r="E304" s="10" t="s">
        <v>28</v>
      </c>
      <c r="F304" s="10">
        <v>32</v>
      </c>
      <c r="G304" s="10">
        <v>17</v>
      </c>
      <c r="H304" s="10">
        <v>11</v>
      </c>
      <c r="I304" s="10"/>
      <c r="J304" s="10" t="s">
        <v>14</v>
      </c>
      <c r="K304" s="10" t="s">
        <v>15</v>
      </c>
      <c r="L304" s="10"/>
      <c r="M304" s="10" t="str">
        <f>HYPERLINK("http://www.stromypodkontrolou.cz/map/tree/eb9fcfc1-f6fa-405f-85c7-690b2fb79ecd/69d88d53-4b76-4e4d-bad1-13a554298f5d")</f>
        <v>http://www.stromypodkontrolou.cz/map/tree/eb9fcfc1-f6fa-405f-85c7-690b2fb79ecd/69d88d53-4b76-4e4d-bad1-13a554298f5d</v>
      </c>
      <c r="N304" s="53"/>
    </row>
    <row r="305" spans="1:207" s="15" customFormat="1" ht="45">
      <c r="A305" s="12">
        <v>301</v>
      </c>
      <c r="B305" s="16" t="s">
        <v>179</v>
      </c>
      <c r="C305" s="14">
        <v>187</v>
      </c>
      <c r="D305" s="16" t="s">
        <v>27</v>
      </c>
      <c r="E305" s="16" t="s">
        <v>28</v>
      </c>
      <c r="F305" s="16">
        <v>30</v>
      </c>
      <c r="G305" s="16">
        <v>17</v>
      </c>
      <c r="H305" s="16">
        <v>7</v>
      </c>
      <c r="I305" s="16"/>
      <c r="J305" s="16" t="s">
        <v>19</v>
      </c>
      <c r="K305" s="16" t="s">
        <v>20</v>
      </c>
      <c r="L305" s="16"/>
      <c r="M305" s="16" t="str">
        <f>HYPERLINK("http://www.stromypodkontrolou.cz/map/tree/eb9fcfc1-f6fa-405f-85c7-690b2fb79ecd/a785768d-f926-4e7c-a864-d46295cb071d")</f>
        <v>http://www.stromypodkontrolou.cz/map/tree/eb9fcfc1-f6fa-405f-85c7-690b2fb79ecd/a785768d-f926-4e7c-a864-d46295cb071d</v>
      </c>
      <c r="N305" s="5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</row>
    <row r="306" spans="1:14" s="3" customFormat="1" ht="12.75">
      <c r="A306" s="9">
        <v>302</v>
      </c>
      <c r="B306" s="38" t="s">
        <v>179</v>
      </c>
      <c r="C306" s="41">
        <v>191</v>
      </c>
      <c r="D306" s="38" t="s">
        <v>64</v>
      </c>
      <c r="E306" s="38" t="s">
        <v>65</v>
      </c>
      <c r="F306" s="38">
        <v>37</v>
      </c>
      <c r="G306" s="38">
        <v>17</v>
      </c>
      <c r="H306" s="38">
        <v>14</v>
      </c>
      <c r="I306" s="38"/>
      <c r="J306" s="10" t="s">
        <v>14</v>
      </c>
      <c r="K306" s="10" t="s">
        <v>15</v>
      </c>
      <c r="L306" s="42"/>
      <c r="M306" s="38" t="str">
        <f>HYPERLINK("http://www.stromypodkontrolou.cz/map/tree/eb9fcfc1-f6fa-405f-85c7-690b2fb79ecd/8a47e8f8-840f-40d5-bf15-4d9f963978e3")</f>
        <v>http://www.stromypodkontrolou.cz/map/tree/eb9fcfc1-f6fa-405f-85c7-690b2fb79ecd/8a47e8f8-840f-40d5-bf15-4d9f963978e3</v>
      </c>
      <c r="N306" s="53"/>
    </row>
    <row r="307" spans="1:14" s="3" customFormat="1" ht="22.5">
      <c r="A307" s="9">
        <v>303</v>
      </c>
      <c r="B307" s="38" t="s">
        <v>179</v>
      </c>
      <c r="C307" s="41">
        <v>191</v>
      </c>
      <c r="D307" s="38" t="s">
        <v>64</v>
      </c>
      <c r="E307" s="38" t="s">
        <v>65</v>
      </c>
      <c r="F307" s="38">
        <v>37</v>
      </c>
      <c r="G307" s="38">
        <v>17</v>
      </c>
      <c r="H307" s="38">
        <v>14</v>
      </c>
      <c r="I307" s="38"/>
      <c r="J307" s="10" t="s">
        <v>19</v>
      </c>
      <c r="K307" s="10" t="s">
        <v>20</v>
      </c>
      <c r="L307" s="42"/>
      <c r="M307" s="38" t="str">
        <f>HYPERLINK("http://www.stromypodkontrolou.cz/map/tree/eb9fcfc1-f6fa-405f-85c7-690b2fb79ecd/8a47e8f8-840f-40d5-bf15-4d9f963978e3")</f>
        <v>http://www.stromypodkontrolou.cz/map/tree/eb9fcfc1-f6fa-405f-85c7-690b2fb79ecd/8a47e8f8-840f-40d5-bf15-4d9f963978e3</v>
      </c>
      <c r="N307" s="53"/>
    </row>
    <row r="308" spans="1:207" s="15" customFormat="1" ht="45">
      <c r="A308" s="12">
        <v>304</v>
      </c>
      <c r="B308" s="16" t="s">
        <v>179</v>
      </c>
      <c r="C308" s="14">
        <v>204</v>
      </c>
      <c r="D308" s="16" t="s">
        <v>27</v>
      </c>
      <c r="E308" s="16" t="s">
        <v>28</v>
      </c>
      <c r="F308" s="16">
        <v>24</v>
      </c>
      <c r="G308" s="16">
        <v>16</v>
      </c>
      <c r="H308" s="16">
        <v>9</v>
      </c>
      <c r="I308" s="16"/>
      <c r="J308" s="16" t="s">
        <v>19</v>
      </c>
      <c r="K308" s="16" t="s">
        <v>20</v>
      </c>
      <c r="L308" s="16"/>
      <c r="M308" s="16" t="str">
        <f>HYPERLINK("http://www.stromypodkontrolou.cz/map/tree/eb9fcfc1-f6fa-405f-85c7-690b2fb79ecd/2524a88f-9b74-424f-bf40-a9f54e5a5782")</f>
        <v>http://www.stromypodkontrolou.cz/map/tree/eb9fcfc1-f6fa-405f-85c7-690b2fb79ecd/2524a88f-9b74-424f-bf40-a9f54e5a5782</v>
      </c>
      <c r="N308" s="5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</row>
    <row r="309" spans="1:14" s="3" customFormat="1" ht="22.5">
      <c r="A309" s="9">
        <v>305</v>
      </c>
      <c r="B309" s="38" t="s">
        <v>179</v>
      </c>
      <c r="C309" s="41">
        <v>205</v>
      </c>
      <c r="D309" s="38" t="s">
        <v>27</v>
      </c>
      <c r="E309" s="38" t="s">
        <v>28</v>
      </c>
      <c r="F309" s="38">
        <v>37</v>
      </c>
      <c r="G309" s="38">
        <v>17</v>
      </c>
      <c r="H309" s="38">
        <v>9</v>
      </c>
      <c r="I309" s="38"/>
      <c r="J309" s="10" t="s">
        <v>25</v>
      </c>
      <c r="K309" s="10" t="s">
        <v>26</v>
      </c>
      <c r="L309" s="42"/>
      <c r="M309" s="38" t="str">
        <f>HYPERLINK("http://www.stromypodkontrolou.cz/map/tree/eb9fcfc1-f6fa-405f-85c7-690b2fb79ecd/b53f5339-b1c9-40fa-85bf-29930eeca6f4")</f>
        <v>http://www.stromypodkontrolou.cz/map/tree/eb9fcfc1-f6fa-405f-85c7-690b2fb79ecd/b53f5339-b1c9-40fa-85bf-29930eeca6f4</v>
      </c>
      <c r="N309" s="53"/>
    </row>
    <row r="310" spans="1:14" s="3" customFormat="1" ht="22.5">
      <c r="A310" s="9">
        <v>306</v>
      </c>
      <c r="B310" s="38" t="s">
        <v>179</v>
      </c>
      <c r="C310" s="41">
        <v>205</v>
      </c>
      <c r="D310" s="38" t="s">
        <v>27</v>
      </c>
      <c r="E310" s="38" t="s">
        <v>28</v>
      </c>
      <c r="F310" s="38">
        <v>37</v>
      </c>
      <c r="G310" s="38">
        <v>17</v>
      </c>
      <c r="H310" s="38">
        <v>9</v>
      </c>
      <c r="I310" s="38"/>
      <c r="J310" s="10" t="s">
        <v>19</v>
      </c>
      <c r="K310" s="10" t="s">
        <v>20</v>
      </c>
      <c r="L310" s="42"/>
      <c r="M310" s="38" t="str">
        <f>HYPERLINK("http://www.stromypodkontrolou.cz/map/tree/eb9fcfc1-f6fa-405f-85c7-690b2fb79ecd/b53f5339-b1c9-40fa-85bf-29930eeca6f4")</f>
        <v>http://www.stromypodkontrolou.cz/map/tree/eb9fcfc1-f6fa-405f-85c7-690b2fb79ecd/b53f5339-b1c9-40fa-85bf-29930eeca6f4</v>
      </c>
      <c r="N310" s="53"/>
    </row>
    <row r="311" spans="1:207" s="15" customFormat="1" ht="45">
      <c r="A311" s="12">
        <v>307</v>
      </c>
      <c r="B311" s="16" t="s">
        <v>180</v>
      </c>
      <c r="C311" s="14">
        <v>9</v>
      </c>
      <c r="D311" s="16" t="s">
        <v>83</v>
      </c>
      <c r="E311" s="16" t="s">
        <v>84</v>
      </c>
      <c r="F311" s="16">
        <v>28</v>
      </c>
      <c r="G311" s="16">
        <v>18</v>
      </c>
      <c r="H311" s="16">
        <v>10</v>
      </c>
      <c r="I311" s="16" t="s">
        <v>95</v>
      </c>
      <c r="J311" s="16" t="s">
        <v>12</v>
      </c>
      <c r="K311" s="16" t="s">
        <v>13</v>
      </c>
      <c r="L311" s="16" t="s">
        <v>68</v>
      </c>
      <c r="M311" s="16" t="str">
        <f>HYPERLINK("http://www.stromypodkontrolou.cz/map/tree/eb9fcfc1-f6fa-405f-85c7-690b2fb79ecd/aa3c0e4f-bd90-4de2-83e8-4f332226d4d0")</f>
        <v>http://www.stromypodkontrolou.cz/map/tree/eb9fcfc1-f6fa-405f-85c7-690b2fb79ecd/aa3c0e4f-bd90-4de2-83e8-4f332226d4d0</v>
      </c>
      <c r="N311" s="5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</row>
    <row r="312" spans="1:14" s="3" customFormat="1" ht="45">
      <c r="A312" s="9">
        <v>308</v>
      </c>
      <c r="B312" s="10" t="s">
        <v>180</v>
      </c>
      <c r="C312" s="11">
        <v>23</v>
      </c>
      <c r="D312" s="10" t="s">
        <v>92</v>
      </c>
      <c r="E312" s="10" t="s">
        <v>93</v>
      </c>
      <c r="F312" s="10">
        <v>25</v>
      </c>
      <c r="G312" s="10">
        <v>16</v>
      </c>
      <c r="H312" s="10">
        <v>9</v>
      </c>
      <c r="I312" s="10" t="s">
        <v>181</v>
      </c>
      <c r="J312" s="10" t="s">
        <v>12</v>
      </c>
      <c r="K312" s="10" t="s">
        <v>13</v>
      </c>
      <c r="L312" s="10"/>
      <c r="M312" s="10" t="str">
        <f>HYPERLINK("http://www.stromypodkontrolou.cz/map/tree/eb9fcfc1-f6fa-405f-85c7-690b2fb79ecd/ce8e376f-f9c5-4534-a4d8-13922a0d533e")</f>
        <v>http://www.stromypodkontrolou.cz/map/tree/eb9fcfc1-f6fa-405f-85c7-690b2fb79ecd/ce8e376f-f9c5-4534-a4d8-13922a0d533e</v>
      </c>
      <c r="N312" s="53"/>
    </row>
    <row r="313" spans="1:207" s="15" customFormat="1" ht="45">
      <c r="A313" s="12">
        <v>309</v>
      </c>
      <c r="B313" s="16" t="s">
        <v>180</v>
      </c>
      <c r="C313" s="14">
        <v>29</v>
      </c>
      <c r="D313" s="16" t="s">
        <v>119</v>
      </c>
      <c r="E313" s="16" t="s">
        <v>120</v>
      </c>
      <c r="F313" s="16">
        <v>52</v>
      </c>
      <c r="G313" s="16">
        <v>22</v>
      </c>
      <c r="H313" s="16">
        <v>14</v>
      </c>
      <c r="I313" s="16" t="s">
        <v>163</v>
      </c>
      <c r="J313" s="16" t="s">
        <v>69</v>
      </c>
      <c r="K313" s="16" t="s">
        <v>70</v>
      </c>
      <c r="L313" s="16"/>
      <c r="M313" s="16" t="str">
        <f>HYPERLINK("http://www.stromypodkontrolou.cz/map/tree/eb9fcfc1-f6fa-405f-85c7-690b2fb79ecd/21a80f2a-1481-4eaf-875d-d3e8bb2ff090")</f>
        <v>http://www.stromypodkontrolou.cz/map/tree/eb9fcfc1-f6fa-405f-85c7-690b2fb79ecd/21a80f2a-1481-4eaf-875d-d3e8bb2ff090</v>
      </c>
      <c r="N313" s="5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</row>
    <row r="314" spans="1:14" s="3" customFormat="1" ht="45">
      <c r="A314" s="9">
        <v>310</v>
      </c>
      <c r="B314" s="10" t="s">
        <v>180</v>
      </c>
      <c r="C314" s="11">
        <v>31</v>
      </c>
      <c r="D314" s="10" t="s">
        <v>119</v>
      </c>
      <c r="E314" s="10" t="s">
        <v>120</v>
      </c>
      <c r="F314" s="10">
        <v>39</v>
      </c>
      <c r="G314" s="10">
        <v>20</v>
      </c>
      <c r="H314" s="10">
        <v>9</v>
      </c>
      <c r="I314" s="10"/>
      <c r="J314" s="10" t="s">
        <v>12</v>
      </c>
      <c r="K314" s="10" t="s">
        <v>13</v>
      </c>
      <c r="L314" s="10"/>
      <c r="M314" s="10" t="str">
        <f>HYPERLINK("http://www.stromypodkontrolou.cz/map/tree/eb9fcfc1-f6fa-405f-85c7-690b2fb79ecd/0663be8e-3a32-4086-a978-6f288b060518")</f>
        <v>http://www.stromypodkontrolou.cz/map/tree/eb9fcfc1-f6fa-405f-85c7-690b2fb79ecd/0663be8e-3a32-4086-a978-6f288b060518</v>
      </c>
      <c r="N314" s="53"/>
    </row>
    <row r="315" spans="1:207" s="15" customFormat="1" ht="45">
      <c r="A315" s="12">
        <v>311</v>
      </c>
      <c r="B315" s="16" t="s">
        <v>182</v>
      </c>
      <c r="C315" s="14">
        <v>6</v>
      </c>
      <c r="D315" s="16" t="s">
        <v>64</v>
      </c>
      <c r="E315" s="16" t="s">
        <v>65</v>
      </c>
      <c r="F315" s="16">
        <v>37</v>
      </c>
      <c r="G315" s="16">
        <v>19</v>
      </c>
      <c r="H315" s="16">
        <v>7</v>
      </c>
      <c r="I315" s="16" t="s">
        <v>18</v>
      </c>
      <c r="J315" s="16" t="s">
        <v>12</v>
      </c>
      <c r="K315" s="16" t="s">
        <v>13</v>
      </c>
      <c r="L315" s="16" t="s">
        <v>17</v>
      </c>
      <c r="M315" s="16" t="str">
        <f>HYPERLINK("http://www.stromypodkontrolou.cz/map/tree/eb9fcfc1-f6fa-405f-85c7-690b2fb79ecd/6e3c444e-a345-4244-8d79-2384564ba6f9")</f>
        <v>http://www.stromypodkontrolou.cz/map/tree/eb9fcfc1-f6fa-405f-85c7-690b2fb79ecd/6e3c444e-a345-4244-8d79-2384564ba6f9</v>
      </c>
      <c r="N315" s="5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</row>
    <row r="316" spans="1:14" s="3" customFormat="1" ht="45">
      <c r="A316" s="9">
        <v>312</v>
      </c>
      <c r="B316" s="10" t="s">
        <v>182</v>
      </c>
      <c r="C316" s="11">
        <v>33</v>
      </c>
      <c r="D316" s="10" t="s">
        <v>86</v>
      </c>
      <c r="E316" s="10" t="s">
        <v>87</v>
      </c>
      <c r="F316" s="10">
        <v>17</v>
      </c>
      <c r="G316" s="10">
        <v>9</v>
      </c>
      <c r="H316" s="10">
        <v>4</v>
      </c>
      <c r="I316" s="10" t="s">
        <v>29</v>
      </c>
      <c r="J316" s="10" t="s">
        <v>14</v>
      </c>
      <c r="K316" s="10" t="s">
        <v>15</v>
      </c>
      <c r="L316" s="10"/>
      <c r="M316" s="10" t="str">
        <f>HYPERLINK("http://www.stromypodkontrolou.cz/map/tree/eb9fcfc1-f6fa-405f-85c7-690b2fb79ecd/86eac735-21ba-4e36-ae61-f7a08d75f8d9")</f>
        <v>http://www.stromypodkontrolou.cz/map/tree/eb9fcfc1-f6fa-405f-85c7-690b2fb79ecd/86eac735-21ba-4e36-ae61-f7a08d75f8d9</v>
      </c>
      <c r="N316" s="53"/>
    </row>
    <row r="317" spans="1:207" s="15" customFormat="1" ht="25.5" customHeight="1">
      <c r="A317" s="12">
        <v>313</v>
      </c>
      <c r="B317" s="46" t="s">
        <v>182</v>
      </c>
      <c r="C317" s="47">
        <v>43</v>
      </c>
      <c r="D317" s="46" t="s">
        <v>9</v>
      </c>
      <c r="E317" s="46" t="s">
        <v>10</v>
      </c>
      <c r="F317" s="46">
        <v>47</v>
      </c>
      <c r="G317" s="46">
        <v>22</v>
      </c>
      <c r="H317" s="46">
        <v>11</v>
      </c>
      <c r="I317" s="46" t="s">
        <v>29</v>
      </c>
      <c r="J317" s="16" t="s">
        <v>12</v>
      </c>
      <c r="K317" s="16" t="s">
        <v>13</v>
      </c>
      <c r="L317" s="16" t="s">
        <v>17</v>
      </c>
      <c r="M317" s="46" t="str">
        <f>HYPERLINK("http://www.stromypodkontrolou.cz/map/tree/eb9fcfc1-f6fa-405f-85c7-690b2fb79ecd/c7fe81bd-14b1-42e1-aaeb-9578613b4974")</f>
        <v>http://www.stromypodkontrolou.cz/map/tree/eb9fcfc1-f6fa-405f-85c7-690b2fb79ecd/c7fe81bd-14b1-42e1-aaeb-9578613b4974</v>
      </c>
      <c r="N317" s="5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</row>
    <row r="318" spans="1:207" s="15" customFormat="1" ht="12.75">
      <c r="A318" s="12">
        <v>314</v>
      </c>
      <c r="B318" s="46" t="s">
        <v>182</v>
      </c>
      <c r="C318" s="47">
        <v>43</v>
      </c>
      <c r="D318" s="46" t="s">
        <v>9</v>
      </c>
      <c r="E318" s="46" t="s">
        <v>10</v>
      </c>
      <c r="F318" s="46">
        <v>47</v>
      </c>
      <c r="G318" s="46">
        <v>22</v>
      </c>
      <c r="H318" s="46">
        <v>11</v>
      </c>
      <c r="I318" s="46" t="s">
        <v>29</v>
      </c>
      <c r="J318" s="16" t="s">
        <v>14</v>
      </c>
      <c r="K318" s="16" t="s">
        <v>15</v>
      </c>
      <c r="L318" s="16"/>
      <c r="M318" s="46" t="str">
        <f>HYPERLINK("http://www.stromypodkontrolou.cz/map/tree/eb9fcfc1-f6fa-405f-85c7-690b2fb79ecd/c7fe81bd-14b1-42e1-aaeb-9578613b4974")</f>
        <v>http://www.stromypodkontrolou.cz/map/tree/eb9fcfc1-f6fa-405f-85c7-690b2fb79ecd/c7fe81bd-14b1-42e1-aaeb-9578613b4974</v>
      </c>
      <c r="N318" s="5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</row>
    <row r="319" spans="1:14" s="3" customFormat="1" ht="25.5" customHeight="1">
      <c r="A319" s="9">
        <v>315</v>
      </c>
      <c r="B319" s="38" t="s">
        <v>182</v>
      </c>
      <c r="C319" s="41">
        <v>44</v>
      </c>
      <c r="D319" s="38" t="s">
        <v>9</v>
      </c>
      <c r="E319" s="38" t="s">
        <v>10</v>
      </c>
      <c r="F319" s="38">
        <v>42</v>
      </c>
      <c r="G319" s="38">
        <v>24</v>
      </c>
      <c r="H319" s="38">
        <v>9</v>
      </c>
      <c r="I319" s="38" t="s">
        <v>29</v>
      </c>
      <c r="J319" s="10" t="s">
        <v>12</v>
      </c>
      <c r="K319" s="10" t="s">
        <v>13</v>
      </c>
      <c r="L319" s="10" t="s">
        <v>17</v>
      </c>
      <c r="M319" s="38" t="str">
        <f>HYPERLINK("http://www.stromypodkontrolou.cz/map/tree/eb9fcfc1-f6fa-405f-85c7-690b2fb79ecd/1493d6e5-62fc-4123-a685-bfae80101443")</f>
        <v>http://www.stromypodkontrolou.cz/map/tree/eb9fcfc1-f6fa-405f-85c7-690b2fb79ecd/1493d6e5-62fc-4123-a685-bfae80101443</v>
      </c>
      <c r="N319" s="53"/>
    </row>
    <row r="320" spans="1:14" s="3" customFormat="1" ht="12.75">
      <c r="A320" s="9">
        <v>316</v>
      </c>
      <c r="B320" s="38" t="s">
        <v>182</v>
      </c>
      <c r="C320" s="41">
        <v>44</v>
      </c>
      <c r="D320" s="38" t="s">
        <v>9</v>
      </c>
      <c r="E320" s="38" t="s">
        <v>10</v>
      </c>
      <c r="F320" s="38">
        <v>42</v>
      </c>
      <c r="G320" s="38">
        <v>24</v>
      </c>
      <c r="H320" s="38">
        <v>9</v>
      </c>
      <c r="I320" s="38" t="s">
        <v>29</v>
      </c>
      <c r="J320" s="10" t="s">
        <v>14</v>
      </c>
      <c r="K320" s="10" t="s">
        <v>15</v>
      </c>
      <c r="L320" s="10"/>
      <c r="M320" s="38" t="str">
        <f>HYPERLINK("http://www.stromypodkontrolou.cz/map/tree/eb9fcfc1-f6fa-405f-85c7-690b2fb79ecd/1493d6e5-62fc-4123-a685-bfae80101443")</f>
        <v>http://www.stromypodkontrolou.cz/map/tree/eb9fcfc1-f6fa-405f-85c7-690b2fb79ecd/1493d6e5-62fc-4123-a685-bfae80101443</v>
      </c>
      <c r="N320" s="53"/>
    </row>
    <row r="321" spans="1:207" s="15" customFormat="1" ht="22.5">
      <c r="A321" s="12">
        <v>317</v>
      </c>
      <c r="B321" s="46" t="s">
        <v>182</v>
      </c>
      <c r="C321" s="47">
        <v>51</v>
      </c>
      <c r="D321" s="46" t="s">
        <v>9</v>
      </c>
      <c r="E321" s="46" t="s">
        <v>10</v>
      </c>
      <c r="F321" s="46">
        <v>57</v>
      </c>
      <c r="G321" s="46">
        <v>22</v>
      </c>
      <c r="H321" s="46">
        <v>9</v>
      </c>
      <c r="I321" s="46" t="s">
        <v>29</v>
      </c>
      <c r="J321" s="16" t="s">
        <v>19</v>
      </c>
      <c r="K321" s="16" t="s">
        <v>20</v>
      </c>
      <c r="L321" s="43"/>
      <c r="M321" s="46" t="str">
        <f>HYPERLINK("http://www.stromypodkontrolou.cz/map/tree/eb9fcfc1-f6fa-405f-85c7-690b2fb79ecd/0abf7947-839b-4568-bff7-a996c4235e07")</f>
        <v>http://www.stromypodkontrolou.cz/map/tree/eb9fcfc1-f6fa-405f-85c7-690b2fb79ecd/0abf7947-839b-4568-bff7-a996c4235e07</v>
      </c>
      <c r="N321" s="5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</row>
    <row r="322" spans="1:207" s="15" customFormat="1" ht="12.75">
      <c r="A322" s="12">
        <v>318</v>
      </c>
      <c r="B322" s="46" t="s">
        <v>182</v>
      </c>
      <c r="C322" s="47">
        <v>51</v>
      </c>
      <c r="D322" s="46" t="s">
        <v>9</v>
      </c>
      <c r="E322" s="46" t="s">
        <v>10</v>
      </c>
      <c r="F322" s="46">
        <v>57</v>
      </c>
      <c r="G322" s="46">
        <v>22</v>
      </c>
      <c r="H322" s="46">
        <v>9</v>
      </c>
      <c r="I322" s="46" t="s">
        <v>29</v>
      </c>
      <c r="J322" s="16" t="s">
        <v>14</v>
      </c>
      <c r="K322" s="16" t="s">
        <v>15</v>
      </c>
      <c r="L322" s="43"/>
      <c r="M322" s="46" t="str">
        <f>HYPERLINK("http://www.stromypodkontrolou.cz/map/tree/eb9fcfc1-f6fa-405f-85c7-690b2fb79ecd/0abf7947-839b-4568-bff7-a996c4235e07")</f>
        <v>http://www.stromypodkontrolou.cz/map/tree/eb9fcfc1-f6fa-405f-85c7-690b2fb79ecd/0abf7947-839b-4568-bff7-a996c4235e07</v>
      </c>
      <c r="N322" s="5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</row>
    <row r="323" spans="1:207" s="15" customFormat="1" ht="14.25" customHeight="1">
      <c r="A323" s="12">
        <v>319</v>
      </c>
      <c r="B323" s="46" t="s">
        <v>182</v>
      </c>
      <c r="C323" s="47">
        <v>51</v>
      </c>
      <c r="D323" s="46" t="s">
        <v>9</v>
      </c>
      <c r="E323" s="46" t="s">
        <v>10</v>
      </c>
      <c r="F323" s="46">
        <v>57</v>
      </c>
      <c r="G323" s="46">
        <v>22</v>
      </c>
      <c r="H323" s="46">
        <v>9</v>
      </c>
      <c r="I323" s="46" t="s">
        <v>29</v>
      </c>
      <c r="J323" s="16" t="s">
        <v>12</v>
      </c>
      <c r="K323" s="16" t="s">
        <v>13</v>
      </c>
      <c r="L323" s="16" t="s">
        <v>17</v>
      </c>
      <c r="M323" s="46" t="str">
        <f>HYPERLINK("http://www.stromypodkontrolou.cz/map/tree/eb9fcfc1-f6fa-405f-85c7-690b2fb79ecd/0abf7947-839b-4568-bff7-a996c4235e07")</f>
        <v>http://www.stromypodkontrolou.cz/map/tree/eb9fcfc1-f6fa-405f-85c7-690b2fb79ecd/0abf7947-839b-4568-bff7-a996c4235e07</v>
      </c>
      <c r="N323" s="5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</row>
    <row r="324" spans="1:14" s="3" customFormat="1" ht="45">
      <c r="A324" s="9">
        <v>320</v>
      </c>
      <c r="B324" s="10" t="s">
        <v>182</v>
      </c>
      <c r="C324" s="11">
        <v>53</v>
      </c>
      <c r="D324" s="10" t="s">
        <v>9</v>
      </c>
      <c r="E324" s="10" t="s">
        <v>10</v>
      </c>
      <c r="F324" s="10">
        <v>44</v>
      </c>
      <c r="G324" s="10">
        <v>24</v>
      </c>
      <c r="H324" s="10">
        <v>10</v>
      </c>
      <c r="I324" s="10" t="s">
        <v>18</v>
      </c>
      <c r="J324" s="10" t="s">
        <v>14</v>
      </c>
      <c r="K324" s="10" t="s">
        <v>15</v>
      </c>
      <c r="L324" s="10"/>
      <c r="M324" s="10" t="str">
        <f>HYPERLINK("http://www.stromypodkontrolou.cz/map/tree/eb9fcfc1-f6fa-405f-85c7-690b2fb79ecd/6fde6ab5-a40e-4c81-8163-82db7dc91b7b")</f>
        <v>http://www.stromypodkontrolou.cz/map/tree/eb9fcfc1-f6fa-405f-85c7-690b2fb79ecd/6fde6ab5-a40e-4c81-8163-82db7dc91b7b</v>
      </c>
      <c r="N324" s="53"/>
    </row>
    <row r="325" spans="1:207" s="15" customFormat="1" ht="12.75">
      <c r="A325" s="12">
        <v>321</v>
      </c>
      <c r="B325" s="46" t="s">
        <v>182</v>
      </c>
      <c r="C325" s="47">
        <v>56</v>
      </c>
      <c r="D325" s="46" t="s">
        <v>9</v>
      </c>
      <c r="E325" s="46" t="s">
        <v>10</v>
      </c>
      <c r="F325" s="46">
        <v>54</v>
      </c>
      <c r="G325" s="46">
        <v>24</v>
      </c>
      <c r="H325" s="46">
        <v>8</v>
      </c>
      <c r="I325" s="46" t="s">
        <v>183</v>
      </c>
      <c r="J325" s="16" t="s">
        <v>14</v>
      </c>
      <c r="K325" s="16" t="s">
        <v>15</v>
      </c>
      <c r="L325" s="16"/>
      <c r="M325" s="46" t="str">
        <f>HYPERLINK("http://www.stromypodkontrolou.cz/map/tree/eb9fcfc1-f6fa-405f-85c7-690b2fb79ecd/c95d1e8f-2ce3-4436-af98-bcbd58d507cb")</f>
        <v>http://www.stromypodkontrolou.cz/map/tree/eb9fcfc1-f6fa-405f-85c7-690b2fb79ecd/c95d1e8f-2ce3-4436-af98-bcbd58d507cb</v>
      </c>
      <c r="N325" s="5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</row>
    <row r="326" spans="1:207" s="15" customFormat="1" ht="25.5" customHeight="1">
      <c r="A326" s="12">
        <v>322</v>
      </c>
      <c r="B326" s="46" t="s">
        <v>182</v>
      </c>
      <c r="C326" s="47">
        <v>56</v>
      </c>
      <c r="D326" s="46" t="s">
        <v>9</v>
      </c>
      <c r="E326" s="46" t="s">
        <v>10</v>
      </c>
      <c r="F326" s="46">
        <v>54</v>
      </c>
      <c r="G326" s="46">
        <v>24</v>
      </c>
      <c r="H326" s="46">
        <v>8</v>
      </c>
      <c r="I326" s="46" t="s">
        <v>183</v>
      </c>
      <c r="J326" s="16" t="s">
        <v>12</v>
      </c>
      <c r="K326" s="16" t="s">
        <v>13</v>
      </c>
      <c r="L326" s="16" t="s">
        <v>17</v>
      </c>
      <c r="M326" s="46" t="str">
        <f>HYPERLINK("http://www.stromypodkontrolou.cz/map/tree/eb9fcfc1-f6fa-405f-85c7-690b2fb79ecd/c95d1e8f-2ce3-4436-af98-bcbd58d507cb")</f>
        <v>http://www.stromypodkontrolou.cz/map/tree/eb9fcfc1-f6fa-405f-85c7-690b2fb79ecd/c95d1e8f-2ce3-4436-af98-bcbd58d507cb</v>
      </c>
      <c r="N326" s="5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</row>
    <row r="327" spans="1:14" s="3" customFormat="1" ht="25.5" customHeight="1">
      <c r="A327" s="9">
        <v>323</v>
      </c>
      <c r="B327" s="38" t="s">
        <v>182</v>
      </c>
      <c r="C327" s="41">
        <v>70</v>
      </c>
      <c r="D327" s="38" t="s">
        <v>9</v>
      </c>
      <c r="E327" s="38" t="s">
        <v>10</v>
      </c>
      <c r="F327" s="38">
        <v>38</v>
      </c>
      <c r="G327" s="38">
        <v>23</v>
      </c>
      <c r="H327" s="38">
        <v>7</v>
      </c>
      <c r="I327" s="38" t="s">
        <v>18</v>
      </c>
      <c r="J327" s="10" t="s">
        <v>12</v>
      </c>
      <c r="K327" s="10" t="s">
        <v>13</v>
      </c>
      <c r="L327" s="10" t="s">
        <v>17</v>
      </c>
      <c r="M327" s="38" t="str">
        <f>HYPERLINK("http://www.stromypodkontrolou.cz/map/tree/eb9fcfc1-f6fa-405f-85c7-690b2fb79ecd/39a70028-a20c-441a-b914-bf6170f4c751")</f>
        <v>http://www.stromypodkontrolou.cz/map/tree/eb9fcfc1-f6fa-405f-85c7-690b2fb79ecd/39a70028-a20c-441a-b914-bf6170f4c751</v>
      </c>
      <c r="N327" s="53"/>
    </row>
    <row r="328" spans="1:14" s="3" customFormat="1" ht="12.75">
      <c r="A328" s="9">
        <v>324</v>
      </c>
      <c r="B328" s="38" t="s">
        <v>182</v>
      </c>
      <c r="C328" s="41">
        <v>70</v>
      </c>
      <c r="D328" s="38" t="s">
        <v>9</v>
      </c>
      <c r="E328" s="38" t="s">
        <v>10</v>
      </c>
      <c r="F328" s="38">
        <v>38</v>
      </c>
      <c r="G328" s="38">
        <v>23</v>
      </c>
      <c r="H328" s="38">
        <v>7</v>
      </c>
      <c r="I328" s="38" t="s">
        <v>18</v>
      </c>
      <c r="J328" s="10" t="s">
        <v>14</v>
      </c>
      <c r="K328" s="10" t="s">
        <v>15</v>
      </c>
      <c r="L328" s="10"/>
      <c r="M328" s="38" t="str">
        <f>HYPERLINK("http://www.stromypodkontrolou.cz/map/tree/eb9fcfc1-f6fa-405f-85c7-690b2fb79ecd/39a70028-a20c-441a-b914-bf6170f4c751")</f>
        <v>http://www.stromypodkontrolou.cz/map/tree/eb9fcfc1-f6fa-405f-85c7-690b2fb79ecd/39a70028-a20c-441a-b914-bf6170f4c751</v>
      </c>
      <c r="N328" s="53"/>
    </row>
    <row r="329" spans="1:207" s="15" customFormat="1" ht="45">
      <c r="A329" s="12">
        <v>325</v>
      </c>
      <c r="B329" s="16" t="s">
        <v>182</v>
      </c>
      <c r="C329" s="14">
        <v>71</v>
      </c>
      <c r="D329" s="16" t="s">
        <v>9</v>
      </c>
      <c r="E329" s="16" t="s">
        <v>10</v>
      </c>
      <c r="F329" s="16">
        <v>44</v>
      </c>
      <c r="G329" s="16">
        <v>22</v>
      </c>
      <c r="H329" s="16">
        <v>9</v>
      </c>
      <c r="I329" s="16"/>
      <c r="J329" s="16" t="s">
        <v>14</v>
      </c>
      <c r="K329" s="16" t="s">
        <v>15</v>
      </c>
      <c r="L329" s="16"/>
      <c r="M329" s="16" t="str">
        <f>HYPERLINK("http://www.stromypodkontrolou.cz/map/tree/eb9fcfc1-f6fa-405f-85c7-690b2fb79ecd/1ebac7be-3f9d-458e-b838-5b05c77fd737")</f>
        <v>http://www.stromypodkontrolou.cz/map/tree/eb9fcfc1-f6fa-405f-85c7-690b2fb79ecd/1ebac7be-3f9d-458e-b838-5b05c77fd737</v>
      </c>
      <c r="N329" s="5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</row>
    <row r="330" spans="1:14" s="3" customFormat="1" ht="22.5">
      <c r="A330" s="9">
        <v>326</v>
      </c>
      <c r="B330" s="38" t="s">
        <v>184</v>
      </c>
      <c r="C330" s="41">
        <v>5</v>
      </c>
      <c r="D330" s="38" t="s">
        <v>27</v>
      </c>
      <c r="E330" s="38" t="s">
        <v>28</v>
      </c>
      <c r="F330" s="38">
        <v>49</v>
      </c>
      <c r="G330" s="38">
        <v>18</v>
      </c>
      <c r="H330" s="38">
        <v>15</v>
      </c>
      <c r="I330" s="38"/>
      <c r="J330" s="10" t="s">
        <v>19</v>
      </c>
      <c r="K330" s="10" t="s">
        <v>20</v>
      </c>
      <c r="L330" s="42"/>
      <c r="M330" s="38" t="str">
        <f>HYPERLINK("http://www.stromypodkontrolou.cz/map/tree/eb9fcfc1-f6fa-405f-85c7-690b2fb79ecd/504ebb9d-f8bb-46a0-b3d2-480cc8e6f686")</f>
        <v>http://www.stromypodkontrolou.cz/map/tree/eb9fcfc1-f6fa-405f-85c7-690b2fb79ecd/504ebb9d-f8bb-46a0-b3d2-480cc8e6f686</v>
      </c>
      <c r="N330" s="53"/>
    </row>
    <row r="331" spans="1:14" s="3" customFormat="1" ht="12" customHeight="1">
      <c r="A331" s="9"/>
      <c r="B331" s="38"/>
      <c r="C331" s="41"/>
      <c r="D331" s="38"/>
      <c r="E331" s="38"/>
      <c r="F331" s="38"/>
      <c r="G331" s="38"/>
      <c r="H331" s="38"/>
      <c r="I331" s="38"/>
      <c r="J331" s="10" t="s">
        <v>12</v>
      </c>
      <c r="K331" s="10" t="s">
        <v>13</v>
      </c>
      <c r="L331" s="42"/>
      <c r="M331" s="38"/>
      <c r="N331" s="53"/>
    </row>
    <row r="332" spans="1:207" s="15" customFormat="1" ht="45">
      <c r="A332" s="12">
        <v>327</v>
      </c>
      <c r="B332" s="16" t="s">
        <v>184</v>
      </c>
      <c r="C332" s="14">
        <v>9</v>
      </c>
      <c r="D332" s="16" t="s">
        <v>9</v>
      </c>
      <c r="E332" s="16" t="s">
        <v>10</v>
      </c>
      <c r="F332" s="16">
        <v>27</v>
      </c>
      <c r="G332" s="16">
        <v>13</v>
      </c>
      <c r="H332" s="16">
        <v>8</v>
      </c>
      <c r="I332" s="16" t="s">
        <v>185</v>
      </c>
      <c r="J332" s="16" t="s">
        <v>14</v>
      </c>
      <c r="K332" s="16" t="s">
        <v>15</v>
      </c>
      <c r="L332" s="16" t="s">
        <v>17</v>
      </c>
      <c r="M332" s="16" t="str">
        <f>HYPERLINK("http://www.stromypodkontrolou.cz/map/tree/eb9fcfc1-f6fa-405f-85c7-690b2fb79ecd/5272c3b9-8a08-4bd7-a6a5-9747efdd0a7d")</f>
        <v>http://www.stromypodkontrolou.cz/map/tree/eb9fcfc1-f6fa-405f-85c7-690b2fb79ecd/5272c3b9-8a08-4bd7-a6a5-9747efdd0a7d</v>
      </c>
      <c r="N332" s="5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</row>
    <row r="333" spans="1:14" s="3" customFormat="1" ht="45">
      <c r="A333" s="9">
        <v>328</v>
      </c>
      <c r="B333" s="10" t="s">
        <v>184</v>
      </c>
      <c r="C333" s="11">
        <v>11</v>
      </c>
      <c r="D333" s="10" t="s">
        <v>156</v>
      </c>
      <c r="E333" s="10" t="s">
        <v>157</v>
      </c>
      <c r="F333" s="10">
        <v>27</v>
      </c>
      <c r="G333" s="10">
        <v>9</v>
      </c>
      <c r="H333" s="10">
        <v>4</v>
      </c>
      <c r="I333" s="10" t="s">
        <v>18</v>
      </c>
      <c r="J333" s="10" t="s">
        <v>12</v>
      </c>
      <c r="K333" s="10" t="s">
        <v>13</v>
      </c>
      <c r="L333" s="10" t="s">
        <v>17</v>
      </c>
      <c r="M333" s="10" t="str">
        <f>HYPERLINK("http://www.stromypodkontrolou.cz/map/tree/eb9fcfc1-f6fa-405f-85c7-690b2fb79ecd/70faf482-2ef3-480c-95ef-ddccc3833e57")</f>
        <v>http://www.stromypodkontrolou.cz/map/tree/eb9fcfc1-f6fa-405f-85c7-690b2fb79ecd/70faf482-2ef3-480c-95ef-ddccc3833e57</v>
      </c>
      <c r="N333" s="53"/>
    </row>
    <row r="334" spans="1:207" s="15" customFormat="1" ht="45">
      <c r="A334" s="12">
        <v>329</v>
      </c>
      <c r="B334" s="16" t="s">
        <v>184</v>
      </c>
      <c r="C334" s="14">
        <v>14</v>
      </c>
      <c r="D334" s="16" t="s">
        <v>27</v>
      </c>
      <c r="E334" s="16" t="s">
        <v>28</v>
      </c>
      <c r="F334" s="16">
        <v>35</v>
      </c>
      <c r="G334" s="16">
        <v>16</v>
      </c>
      <c r="H334" s="16">
        <v>10</v>
      </c>
      <c r="I334" s="16" t="s">
        <v>95</v>
      </c>
      <c r="J334" s="16" t="s">
        <v>19</v>
      </c>
      <c r="K334" s="16" t="s">
        <v>20</v>
      </c>
      <c r="L334" s="16"/>
      <c r="M334" s="16" t="str">
        <f>HYPERLINK("http://www.stromypodkontrolou.cz/map/tree/eb9fcfc1-f6fa-405f-85c7-690b2fb79ecd/e91bc0b9-77d1-4e3e-9d2d-c96a7dd63cb3")</f>
        <v>http://www.stromypodkontrolou.cz/map/tree/eb9fcfc1-f6fa-405f-85c7-690b2fb79ecd/e91bc0b9-77d1-4e3e-9d2d-c96a7dd63cb3</v>
      </c>
      <c r="N334" s="5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</row>
    <row r="335" spans="1:14" s="3" customFormat="1" ht="45">
      <c r="A335" s="9">
        <v>330</v>
      </c>
      <c r="B335" s="10" t="s">
        <v>184</v>
      </c>
      <c r="C335" s="11">
        <v>31</v>
      </c>
      <c r="D335" s="10" t="s">
        <v>99</v>
      </c>
      <c r="E335" s="10" t="s">
        <v>100</v>
      </c>
      <c r="F335" s="10">
        <v>16</v>
      </c>
      <c r="G335" s="10">
        <v>14</v>
      </c>
      <c r="H335" s="10">
        <v>5</v>
      </c>
      <c r="I335" s="10" t="s">
        <v>186</v>
      </c>
      <c r="J335" s="10" t="s">
        <v>12</v>
      </c>
      <c r="K335" s="10" t="s">
        <v>13</v>
      </c>
      <c r="L335" s="10"/>
      <c r="M335" s="10" t="str">
        <f>HYPERLINK("http://www.stromypodkontrolou.cz/map/tree/eb9fcfc1-f6fa-405f-85c7-690b2fb79ecd/486a3fec-86ca-4d37-9fb6-3e5c92ed87c6")</f>
        <v>http://www.stromypodkontrolou.cz/map/tree/eb9fcfc1-f6fa-405f-85c7-690b2fb79ecd/486a3fec-86ca-4d37-9fb6-3e5c92ed87c6</v>
      </c>
      <c r="N335" s="53"/>
    </row>
    <row r="336" spans="1:207" s="15" customFormat="1" ht="22.5">
      <c r="A336" s="12">
        <v>331</v>
      </c>
      <c r="B336" s="46" t="s">
        <v>184</v>
      </c>
      <c r="C336" s="47">
        <v>87</v>
      </c>
      <c r="D336" s="46" t="s">
        <v>9</v>
      </c>
      <c r="E336" s="46" t="s">
        <v>10</v>
      </c>
      <c r="F336" s="46">
        <v>30</v>
      </c>
      <c r="G336" s="46">
        <v>20</v>
      </c>
      <c r="H336" s="46">
        <v>11</v>
      </c>
      <c r="I336" s="46" t="s">
        <v>23</v>
      </c>
      <c r="J336" s="16" t="s">
        <v>12</v>
      </c>
      <c r="K336" s="16" t="s">
        <v>13</v>
      </c>
      <c r="L336" s="43"/>
      <c r="M336" s="46" t="str">
        <f>HYPERLINK("http://www.stromypodkontrolou.cz/map/tree/eb9fcfc1-f6fa-405f-85c7-690b2fb79ecd/566cba50-fd5a-4159-b714-140522f5bd9a")</f>
        <v>http://www.stromypodkontrolou.cz/map/tree/eb9fcfc1-f6fa-405f-85c7-690b2fb79ecd/566cba50-fd5a-4159-b714-140522f5bd9a</v>
      </c>
      <c r="N336" s="5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</row>
    <row r="337" spans="1:207" s="15" customFormat="1" ht="12" customHeight="1">
      <c r="A337" s="12">
        <v>332</v>
      </c>
      <c r="B337" s="46" t="s">
        <v>184</v>
      </c>
      <c r="C337" s="47">
        <v>87</v>
      </c>
      <c r="D337" s="46" t="s">
        <v>9</v>
      </c>
      <c r="E337" s="46" t="s">
        <v>10</v>
      </c>
      <c r="F337" s="46">
        <v>30</v>
      </c>
      <c r="G337" s="46">
        <v>20</v>
      </c>
      <c r="H337" s="46">
        <v>11</v>
      </c>
      <c r="I337" s="46" t="s">
        <v>23</v>
      </c>
      <c r="J337" s="16" t="s">
        <v>14</v>
      </c>
      <c r="K337" s="16" t="s">
        <v>15</v>
      </c>
      <c r="L337" s="43"/>
      <c r="M337" s="46" t="str">
        <f>HYPERLINK("http://www.stromypodkontrolou.cz/map/tree/eb9fcfc1-f6fa-405f-85c7-690b2fb79ecd/566cba50-fd5a-4159-b714-140522f5bd9a")</f>
        <v>http://www.stromypodkontrolou.cz/map/tree/eb9fcfc1-f6fa-405f-85c7-690b2fb79ecd/566cba50-fd5a-4159-b714-140522f5bd9a</v>
      </c>
      <c r="N337" s="5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</row>
    <row r="338" spans="1:14" s="3" customFormat="1" ht="45">
      <c r="A338" s="9">
        <v>333</v>
      </c>
      <c r="B338" s="51" t="s">
        <v>187</v>
      </c>
      <c r="C338" s="41">
        <v>7</v>
      </c>
      <c r="D338" s="38" t="s">
        <v>64</v>
      </c>
      <c r="E338" s="38" t="s">
        <v>65</v>
      </c>
      <c r="F338" s="38">
        <v>67</v>
      </c>
      <c r="G338" s="38">
        <v>22</v>
      </c>
      <c r="H338" s="38">
        <v>13</v>
      </c>
      <c r="I338" s="38"/>
      <c r="J338" s="10" t="s">
        <v>12</v>
      </c>
      <c r="K338" s="10" t="s">
        <v>13</v>
      </c>
      <c r="L338" s="10" t="s">
        <v>188</v>
      </c>
      <c r="M338" s="38" t="str">
        <f>HYPERLINK("http://www.stromypodkontrolou.cz/map/tree/eb9fcfc1-f6fa-405f-85c7-690b2fb79ecd/8105a2a1-dc43-45f4-a762-7334afbb5726")</f>
        <v>http://www.stromypodkontrolou.cz/map/tree/eb9fcfc1-f6fa-405f-85c7-690b2fb79ecd/8105a2a1-dc43-45f4-a762-7334afbb5726</v>
      </c>
      <c r="N338" s="53"/>
    </row>
    <row r="339" spans="1:14" s="3" customFormat="1" ht="12.75">
      <c r="A339" s="9">
        <v>334</v>
      </c>
      <c r="B339" s="52"/>
      <c r="C339" s="41">
        <v>7</v>
      </c>
      <c r="D339" s="38" t="s">
        <v>64</v>
      </c>
      <c r="E339" s="38" t="s">
        <v>65</v>
      </c>
      <c r="F339" s="38">
        <v>67</v>
      </c>
      <c r="G339" s="38">
        <v>22</v>
      </c>
      <c r="H339" s="38">
        <v>13</v>
      </c>
      <c r="I339" s="38"/>
      <c r="J339" s="10" t="s">
        <v>14</v>
      </c>
      <c r="K339" s="10" t="s">
        <v>15</v>
      </c>
      <c r="L339" s="10"/>
      <c r="M339" s="38" t="str">
        <f>HYPERLINK("http://www.stromypodkontrolou.cz/map/tree/eb9fcfc1-f6fa-405f-85c7-690b2fb79ecd/8105a2a1-dc43-45f4-a762-7334afbb5726")</f>
        <v>http://www.stromypodkontrolou.cz/map/tree/eb9fcfc1-f6fa-405f-85c7-690b2fb79ecd/8105a2a1-dc43-45f4-a762-7334afbb5726</v>
      </c>
      <c r="N339" s="53"/>
    </row>
    <row r="340" spans="1:207" s="15" customFormat="1" ht="25.5" customHeight="1">
      <c r="A340" s="12">
        <v>335</v>
      </c>
      <c r="B340" s="46" t="s">
        <v>187</v>
      </c>
      <c r="C340" s="47">
        <v>23</v>
      </c>
      <c r="D340" s="46" t="s">
        <v>9</v>
      </c>
      <c r="E340" s="46" t="s">
        <v>10</v>
      </c>
      <c r="F340" s="46">
        <v>33</v>
      </c>
      <c r="G340" s="46">
        <v>10</v>
      </c>
      <c r="H340" s="46">
        <v>8</v>
      </c>
      <c r="I340" s="46" t="s">
        <v>16</v>
      </c>
      <c r="J340" s="16" t="s">
        <v>14</v>
      </c>
      <c r="K340" s="16" t="s">
        <v>15</v>
      </c>
      <c r="L340" s="16" t="s">
        <v>17</v>
      </c>
      <c r="M340" s="46" t="str">
        <f>HYPERLINK("http://www.stromypodkontrolou.cz/map/tree/eb9fcfc1-f6fa-405f-85c7-690b2fb79ecd/a660ae02-9dbf-419c-9368-fda7b09b681e")</f>
        <v>http://www.stromypodkontrolou.cz/map/tree/eb9fcfc1-f6fa-405f-85c7-690b2fb79ecd/a660ae02-9dbf-419c-9368-fda7b09b681e</v>
      </c>
      <c r="N340" s="5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</row>
    <row r="341" spans="1:207" s="15" customFormat="1" ht="22.5">
      <c r="A341" s="12">
        <v>336</v>
      </c>
      <c r="B341" s="46" t="s">
        <v>187</v>
      </c>
      <c r="C341" s="47">
        <v>23</v>
      </c>
      <c r="D341" s="46" t="s">
        <v>9</v>
      </c>
      <c r="E341" s="46" t="s">
        <v>10</v>
      </c>
      <c r="F341" s="46">
        <v>33</v>
      </c>
      <c r="G341" s="46">
        <v>10</v>
      </c>
      <c r="H341" s="46">
        <v>8</v>
      </c>
      <c r="I341" s="46" t="s">
        <v>16</v>
      </c>
      <c r="J341" s="16" t="s">
        <v>19</v>
      </c>
      <c r="K341" s="16" t="s">
        <v>20</v>
      </c>
      <c r="L341" s="16"/>
      <c r="M341" s="46" t="str">
        <f>HYPERLINK("http://www.stromypodkontrolou.cz/map/tree/eb9fcfc1-f6fa-405f-85c7-690b2fb79ecd/a660ae02-9dbf-419c-9368-fda7b09b681e")</f>
        <v>http://www.stromypodkontrolou.cz/map/tree/eb9fcfc1-f6fa-405f-85c7-690b2fb79ecd/a660ae02-9dbf-419c-9368-fda7b09b681e</v>
      </c>
      <c r="N341" s="5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</row>
    <row r="342" spans="1:207" s="15" customFormat="1" ht="22.5">
      <c r="A342" s="12">
        <v>337</v>
      </c>
      <c r="B342" s="46" t="s">
        <v>187</v>
      </c>
      <c r="C342" s="47">
        <v>23</v>
      </c>
      <c r="D342" s="46" t="s">
        <v>9</v>
      </c>
      <c r="E342" s="46" t="s">
        <v>10</v>
      </c>
      <c r="F342" s="46">
        <v>33</v>
      </c>
      <c r="G342" s="46">
        <v>10</v>
      </c>
      <c r="H342" s="46">
        <v>8</v>
      </c>
      <c r="I342" s="46" t="s">
        <v>16</v>
      </c>
      <c r="J342" s="16" t="s">
        <v>25</v>
      </c>
      <c r="K342" s="16" t="s">
        <v>26</v>
      </c>
      <c r="L342" s="16" t="s">
        <v>57</v>
      </c>
      <c r="M342" s="46" t="str">
        <f>HYPERLINK("http://www.stromypodkontrolou.cz/map/tree/eb9fcfc1-f6fa-405f-85c7-690b2fb79ecd/a660ae02-9dbf-419c-9368-fda7b09b681e")</f>
        <v>http://www.stromypodkontrolou.cz/map/tree/eb9fcfc1-f6fa-405f-85c7-690b2fb79ecd/a660ae02-9dbf-419c-9368-fda7b09b681e</v>
      </c>
      <c r="N342" s="5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</row>
    <row r="343" spans="1:14" s="3" customFormat="1" ht="56.25">
      <c r="A343" s="9">
        <v>338</v>
      </c>
      <c r="B343" s="19" t="s">
        <v>324</v>
      </c>
      <c r="C343" s="11">
        <v>35</v>
      </c>
      <c r="D343" s="19" t="s">
        <v>325</v>
      </c>
      <c r="E343" s="19" t="s">
        <v>326</v>
      </c>
      <c r="F343" s="20">
        <v>8</v>
      </c>
      <c r="G343" s="20">
        <v>5</v>
      </c>
      <c r="H343" s="20">
        <v>2</v>
      </c>
      <c r="I343" s="19"/>
      <c r="J343" s="10" t="s">
        <v>19</v>
      </c>
      <c r="K343" s="10" t="s">
        <v>20</v>
      </c>
      <c r="L343" s="10"/>
      <c r="M343" s="19" t="str">
        <f>HYPERLINK("http://www.stromypodkontrolou.cz/map/?draw_selection_circle=1#%7B%22lat%22%3A%2049.6614315634%2C%20%22lng%22%3A%2018.6811944812%2C%20%22zoom%22%3A%2020%7D")</f>
        <v>http://www.stromypodkontrolou.cz/map/?draw_selection_circle=1#%7B%22lat%22%3A%2049.6614315634%2C%20%22lng%22%3A%2018.6811944812%2C%20%22zoom%22%3A%2020%7D</v>
      </c>
      <c r="N343" s="53"/>
    </row>
    <row r="344" spans="1:207" s="15" customFormat="1" ht="56.25">
      <c r="A344" s="12">
        <v>339</v>
      </c>
      <c r="B344" s="21" t="s">
        <v>324</v>
      </c>
      <c r="C344" s="14">
        <v>36</v>
      </c>
      <c r="D344" s="21" t="s">
        <v>325</v>
      </c>
      <c r="E344" s="21" t="s">
        <v>326</v>
      </c>
      <c r="F344" s="22">
        <v>8</v>
      </c>
      <c r="G344" s="22">
        <v>5</v>
      </c>
      <c r="H344" s="22">
        <v>2</v>
      </c>
      <c r="I344" s="21"/>
      <c r="J344" s="16" t="s">
        <v>19</v>
      </c>
      <c r="K344" s="16" t="s">
        <v>20</v>
      </c>
      <c r="L344" s="16"/>
      <c r="M344" s="21" t="str">
        <f>HYPERLINK("http://www.stromypodkontrolou.cz/map/?draw_selection_circle=1#%7B%22lat%22%3A%2049.6614795797%2C%20%22lng%22%3A%2018.6811885251%2C%20%22zoom%22%3A%2020%7D")</f>
        <v>http://www.stromypodkontrolou.cz/map/?draw_selection_circle=1#%7B%22lat%22%3A%2049.6614795797%2C%20%22lng%22%3A%2018.6811885251%2C%20%22zoom%22%3A%2020%7D</v>
      </c>
      <c r="N344" s="5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</row>
    <row r="345" spans="1:14" s="3" customFormat="1" ht="56.25">
      <c r="A345" s="9">
        <v>340</v>
      </c>
      <c r="B345" s="19" t="s">
        <v>324</v>
      </c>
      <c r="C345" s="11">
        <v>37</v>
      </c>
      <c r="D345" s="19" t="s">
        <v>325</v>
      </c>
      <c r="E345" s="19" t="s">
        <v>326</v>
      </c>
      <c r="F345" s="20">
        <v>7</v>
      </c>
      <c r="G345" s="20">
        <v>4</v>
      </c>
      <c r="H345" s="20">
        <v>2</v>
      </c>
      <c r="I345" s="19"/>
      <c r="J345" s="10" t="s">
        <v>19</v>
      </c>
      <c r="K345" s="10" t="s">
        <v>20</v>
      </c>
      <c r="L345" s="10"/>
      <c r="M345" s="19" t="str">
        <f>HYPERLINK("http://www.stromypodkontrolou.cz/map/?draw_selection_circle=1#%7B%22lat%22%3A%2049.6615292312%2C%20%22lng%22%3A%2018.6811796087%2C%20%22zoom%22%3A%2020%7D")</f>
        <v>http://www.stromypodkontrolou.cz/map/?draw_selection_circle=1#%7B%22lat%22%3A%2049.6615292312%2C%20%22lng%22%3A%2018.6811796087%2C%20%22zoom%22%3A%2020%7D</v>
      </c>
      <c r="N345" s="53"/>
    </row>
    <row r="346" spans="1:207" s="15" customFormat="1" ht="22.5">
      <c r="A346" s="12">
        <v>341</v>
      </c>
      <c r="B346" s="46" t="s">
        <v>190</v>
      </c>
      <c r="C346" s="47">
        <v>3</v>
      </c>
      <c r="D346" s="46" t="s">
        <v>64</v>
      </c>
      <c r="E346" s="46" t="s">
        <v>65</v>
      </c>
      <c r="F346" s="46">
        <v>45</v>
      </c>
      <c r="G346" s="46">
        <v>23</v>
      </c>
      <c r="H346" s="46">
        <v>11</v>
      </c>
      <c r="I346" s="46" t="s">
        <v>191</v>
      </c>
      <c r="J346" s="16" t="s">
        <v>12</v>
      </c>
      <c r="K346" s="16" t="s">
        <v>13</v>
      </c>
      <c r="L346" s="16" t="s">
        <v>150</v>
      </c>
      <c r="M346" s="46" t="str">
        <f>HYPERLINK("http://www.stromypodkontrolou.cz/map/tree/eb9fcfc1-f6fa-405f-85c7-690b2fb79ecd/1117338f-ade7-416d-a74a-1f8dc0e12a69")</f>
        <v>http://www.stromypodkontrolou.cz/map/tree/eb9fcfc1-f6fa-405f-85c7-690b2fb79ecd/1117338f-ade7-416d-a74a-1f8dc0e12a69</v>
      </c>
      <c r="N346" s="5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</row>
    <row r="347" spans="1:207" s="15" customFormat="1" ht="12.75">
      <c r="A347" s="12">
        <v>342</v>
      </c>
      <c r="B347" s="46" t="s">
        <v>190</v>
      </c>
      <c r="C347" s="47">
        <v>3</v>
      </c>
      <c r="D347" s="46" t="s">
        <v>64</v>
      </c>
      <c r="E347" s="46" t="s">
        <v>65</v>
      </c>
      <c r="F347" s="46">
        <v>45</v>
      </c>
      <c r="G347" s="46">
        <v>23</v>
      </c>
      <c r="H347" s="46">
        <v>11</v>
      </c>
      <c r="I347" s="46" t="s">
        <v>191</v>
      </c>
      <c r="J347" s="16" t="s">
        <v>97</v>
      </c>
      <c r="K347" s="16" t="s">
        <v>98</v>
      </c>
      <c r="L347" s="16"/>
      <c r="M347" s="46" t="str">
        <f>HYPERLINK("http://www.stromypodkontrolou.cz/map/tree/eb9fcfc1-f6fa-405f-85c7-690b2fb79ecd/1117338f-ade7-416d-a74a-1f8dc0e12a69")</f>
        <v>http://www.stromypodkontrolou.cz/map/tree/eb9fcfc1-f6fa-405f-85c7-690b2fb79ecd/1117338f-ade7-416d-a74a-1f8dc0e12a69</v>
      </c>
      <c r="N347" s="5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</row>
    <row r="348" spans="1:14" s="3" customFormat="1" ht="22.5">
      <c r="A348" s="9">
        <v>343</v>
      </c>
      <c r="B348" s="38" t="s">
        <v>190</v>
      </c>
      <c r="C348" s="41">
        <v>13</v>
      </c>
      <c r="D348" s="38" t="s">
        <v>9</v>
      </c>
      <c r="E348" s="38" t="s">
        <v>10</v>
      </c>
      <c r="F348" s="38">
        <v>44</v>
      </c>
      <c r="G348" s="38">
        <v>18</v>
      </c>
      <c r="H348" s="38">
        <v>8</v>
      </c>
      <c r="I348" s="38" t="s">
        <v>23</v>
      </c>
      <c r="J348" s="10" t="s">
        <v>12</v>
      </c>
      <c r="K348" s="10" t="s">
        <v>13</v>
      </c>
      <c r="L348" s="42"/>
      <c r="M348" s="38" t="str">
        <f>HYPERLINK("http://www.stromypodkontrolou.cz/map/tree/eb9fcfc1-f6fa-405f-85c7-690b2fb79ecd/eaa1ee7b-b191-4fcd-982b-8820d5e85548")</f>
        <v>http://www.stromypodkontrolou.cz/map/tree/eb9fcfc1-f6fa-405f-85c7-690b2fb79ecd/eaa1ee7b-b191-4fcd-982b-8820d5e85548</v>
      </c>
      <c r="N348" s="53"/>
    </row>
    <row r="349" spans="1:14" s="3" customFormat="1" ht="12.75">
      <c r="A349" s="9">
        <v>344</v>
      </c>
      <c r="B349" s="38" t="s">
        <v>190</v>
      </c>
      <c r="C349" s="41">
        <v>13</v>
      </c>
      <c r="D349" s="38" t="s">
        <v>9</v>
      </c>
      <c r="E349" s="38" t="s">
        <v>10</v>
      </c>
      <c r="F349" s="38">
        <v>44</v>
      </c>
      <c r="G349" s="38">
        <v>18</v>
      </c>
      <c r="H349" s="38">
        <v>8</v>
      </c>
      <c r="I349" s="38" t="s">
        <v>23</v>
      </c>
      <c r="J349" s="10" t="s">
        <v>14</v>
      </c>
      <c r="K349" s="10" t="s">
        <v>15</v>
      </c>
      <c r="L349" s="42"/>
      <c r="M349" s="38" t="str">
        <f>HYPERLINK("http://www.stromypodkontrolou.cz/map/tree/eb9fcfc1-f6fa-405f-85c7-690b2fb79ecd/eaa1ee7b-b191-4fcd-982b-8820d5e85548")</f>
        <v>http://www.stromypodkontrolou.cz/map/tree/eb9fcfc1-f6fa-405f-85c7-690b2fb79ecd/eaa1ee7b-b191-4fcd-982b-8820d5e85548</v>
      </c>
      <c r="N349" s="53"/>
    </row>
    <row r="350" spans="1:207" s="15" customFormat="1" ht="45">
      <c r="A350" s="12">
        <v>345</v>
      </c>
      <c r="B350" s="16" t="s">
        <v>190</v>
      </c>
      <c r="C350" s="14">
        <v>26</v>
      </c>
      <c r="D350" s="16" t="s">
        <v>61</v>
      </c>
      <c r="E350" s="16" t="s">
        <v>62</v>
      </c>
      <c r="F350" s="16">
        <v>111</v>
      </c>
      <c r="G350" s="16">
        <v>30</v>
      </c>
      <c r="H350" s="16">
        <v>21</v>
      </c>
      <c r="I350" s="16"/>
      <c r="J350" s="16" t="s">
        <v>115</v>
      </c>
      <c r="K350" s="16" t="s">
        <v>116</v>
      </c>
      <c r="L350" s="16" t="s">
        <v>189</v>
      </c>
      <c r="M350" s="16" t="str">
        <f>HYPERLINK("http://www.stromypodkontrolou.cz/map/tree/eb9fcfc1-f6fa-405f-85c7-690b2fb79ecd/d64afc3a-a6cc-4aba-bf07-1c9ad0a794ea")</f>
        <v>http://www.stromypodkontrolou.cz/map/tree/eb9fcfc1-f6fa-405f-85c7-690b2fb79ecd/d64afc3a-a6cc-4aba-bf07-1c9ad0a794ea</v>
      </c>
      <c r="N350" s="5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</row>
    <row r="351" spans="1:14" s="3" customFormat="1" ht="51" customHeight="1">
      <c r="A351" s="9">
        <v>346</v>
      </c>
      <c r="B351" s="10" t="s">
        <v>190</v>
      </c>
      <c r="C351" s="11">
        <v>44</v>
      </c>
      <c r="D351" s="10" t="s">
        <v>27</v>
      </c>
      <c r="E351" s="10" t="s">
        <v>28</v>
      </c>
      <c r="F351" s="10">
        <v>40</v>
      </c>
      <c r="G351" s="10">
        <v>18</v>
      </c>
      <c r="H351" s="10">
        <v>7</v>
      </c>
      <c r="I351" s="10" t="s">
        <v>192</v>
      </c>
      <c r="J351" s="10" t="s">
        <v>19</v>
      </c>
      <c r="K351" s="10" t="s">
        <v>20</v>
      </c>
      <c r="L351" s="10"/>
      <c r="M351" s="10" t="str">
        <f>HYPERLINK("http://www.stromypodkontrolou.cz/map/tree/eb9fcfc1-f6fa-405f-85c7-690b2fb79ecd/79244efc-9e6b-4b84-b3dc-0bbe2e87f133")</f>
        <v>http://www.stromypodkontrolou.cz/map/tree/eb9fcfc1-f6fa-405f-85c7-690b2fb79ecd/79244efc-9e6b-4b84-b3dc-0bbe2e87f133</v>
      </c>
      <c r="N351" s="53"/>
    </row>
    <row r="352" spans="1:207" s="15" customFormat="1" ht="45">
      <c r="A352" s="12">
        <v>347</v>
      </c>
      <c r="B352" s="16" t="s">
        <v>193</v>
      </c>
      <c r="C352" s="14">
        <v>82</v>
      </c>
      <c r="D352" s="16" t="s">
        <v>9</v>
      </c>
      <c r="E352" s="16" t="s">
        <v>10</v>
      </c>
      <c r="F352" s="16">
        <v>27</v>
      </c>
      <c r="G352" s="16">
        <v>16</v>
      </c>
      <c r="H352" s="16">
        <v>8</v>
      </c>
      <c r="I352" s="16" t="s">
        <v>23</v>
      </c>
      <c r="J352" s="16" t="s">
        <v>14</v>
      </c>
      <c r="K352" s="16" t="s">
        <v>15</v>
      </c>
      <c r="L352" s="16" t="s">
        <v>17</v>
      </c>
      <c r="M352" s="16" t="str">
        <f>HYPERLINK("http://www.stromypodkontrolou.cz/map/tree/eb9fcfc1-f6fa-405f-85c7-690b2fb79ecd/8544c72c-917d-4fcd-9e85-c5f0a8bc90b9")</f>
        <v>http://www.stromypodkontrolou.cz/map/tree/eb9fcfc1-f6fa-405f-85c7-690b2fb79ecd/8544c72c-917d-4fcd-9e85-c5f0a8bc90b9</v>
      </c>
      <c r="N352" s="5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</row>
    <row r="353" spans="1:14" s="3" customFormat="1" ht="33.75">
      <c r="A353" s="9">
        <v>348</v>
      </c>
      <c r="B353" s="38" t="s">
        <v>193</v>
      </c>
      <c r="C353" s="41">
        <v>83</v>
      </c>
      <c r="D353" s="38" t="s">
        <v>9</v>
      </c>
      <c r="E353" s="38" t="s">
        <v>10</v>
      </c>
      <c r="F353" s="38">
        <v>35</v>
      </c>
      <c r="G353" s="38">
        <v>15</v>
      </c>
      <c r="H353" s="38">
        <v>10</v>
      </c>
      <c r="I353" s="38" t="s">
        <v>194</v>
      </c>
      <c r="J353" s="10" t="s">
        <v>12</v>
      </c>
      <c r="K353" s="10" t="s">
        <v>13</v>
      </c>
      <c r="L353" s="10" t="s">
        <v>17</v>
      </c>
      <c r="M353" s="38" t="str">
        <f>HYPERLINK("http://www.stromypodkontrolou.cz/map/tree/eb9fcfc1-f6fa-405f-85c7-690b2fb79ecd/305462f8-0ab1-4c9b-8eb5-5b6dcfd9f209")</f>
        <v>http://www.stromypodkontrolou.cz/map/tree/eb9fcfc1-f6fa-405f-85c7-690b2fb79ecd/305462f8-0ab1-4c9b-8eb5-5b6dcfd9f209</v>
      </c>
      <c r="N353" s="53"/>
    </row>
    <row r="354" spans="1:14" s="3" customFormat="1" ht="47.25" customHeight="1">
      <c r="A354" s="9">
        <v>349</v>
      </c>
      <c r="B354" s="38" t="s">
        <v>193</v>
      </c>
      <c r="C354" s="41">
        <v>83</v>
      </c>
      <c r="D354" s="38" t="s">
        <v>9</v>
      </c>
      <c r="E354" s="38" t="s">
        <v>10</v>
      </c>
      <c r="F354" s="38">
        <v>35</v>
      </c>
      <c r="G354" s="38">
        <v>15</v>
      </c>
      <c r="H354" s="38">
        <v>10</v>
      </c>
      <c r="I354" s="38" t="s">
        <v>194</v>
      </c>
      <c r="J354" s="10" t="s">
        <v>14</v>
      </c>
      <c r="K354" s="10" t="s">
        <v>15</v>
      </c>
      <c r="L354" s="10"/>
      <c r="M354" s="38" t="str">
        <f>HYPERLINK("http://www.stromypodkontrolou.cz/map/tree/eb9fcfc1-f6fa-405f-85c7-690b2fb79ecd/305462f8-0ab1-4c9b-8eb5-5b6dcfd9f209")</f>
        <v>http://www.stromypodkontrolou.cz/map/tree/eb9fcfc1-f6fa-405f-85c7-690b2fb79ecd/305462f8-0ab1-4c9b-8eb5-5b6dcfd9f209</v>
      </c>
      <c r="N354" s="53"/>
    </row>
    <row r="355" spans="1:207" s="15" customFormat="1" ht="25.5" customHeight="1">
      <c r="A355" s="12">
        <v>350</v>
      </c>
      <c r="B355" s="46" t="s">
        <v>193</v>
      </c>
      <c r="C355" s="47">
        <v>84</v>
      </c>
      <c r="D355" s="46" t="s">
        <v>9</v>
      </c>
      <c r="E355" s="46" t="s">
        <v>10</v>
      </c>
      <c r="F355" s="46">
        <v>36</v>
      </c>
      <c r="G355" s="46">
        <v>15</v>
      </c>
      <c r="H355" s="46">
        <v>10</v>
      </c>
      <c r="I355" s="46" t="s">
        <v>23</v>
      </c>
      <c r="J355" s="16" t="s">
        <v>12</v>
      </c>
      <c r="K355" s="16" t="s">
        <v>13</v>
      </c>
      <c r="L355" s="16" t="s">
        <v>17</v>
      </c>
      <c r="M355" s="46" t="str">
        <f>HYPERLINK("http://www.stromypodkontrolou.cz/map/tree/eb9fcfc1-f6fa-405f-85c7-690b2fb79ecd/5e97ec6c-e4bf-409e-a38c-6df7dffaf375")</f>
        <v>http://www.stromypodkontrolou.cz/map/tree/eb9fcfc1-f6fa-405f-85c7-690b2fb79ecd/5e97ec6c-e4bf-409e-a38c-6df7dffaf375</v>
      </c>
      <c r="N355" s="5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</row>
    <row r="356" spans="1:207" s="15" customFormat="1" ht="12.75">
      <c r="A356" s="12">
        <v>351</v>
      </c>
      <c r="B356" s="46" t="s">
        <v>193</v>
      </c>
      <c r="C356" s="47">
        <v>84</v>
      </c>
      <c r="D356" s="46" t="s">
        <v>9</v>
      </c>
      <c r="E356" s="46" t="s">
        <v>10</v>
      </c>
      <c r="F356" s="46">
        <v>36</v>
      </c>
      <c r="G356" s="46">
        <v>15</v>
      </c>
      <c r="H356" s="46">
        <v>10</v>
      </c>
      <c r="I356" s="46" t="s">
        <v>23</v>
      </c>
      <c r="J356" s="16" t="s">
        <v>14</v>
      </c>
      <c r="K356" s="16" t="s">
        <v>15</v>
      </c>
      <c r="L356" s="16"/>
      <c r="M356" s="46" t="str">
        <f>HYPERLINK("http://www.stromypodkontrolou.cz/map/tree/eb9fcfc1-f6fa-405f-85c7-690b2fb79ecd/5e97ec6c-e4bf-409e-a38c-6df7dffaf375")</f>
        <v>http://www.stromypodkontrolou.cz/map/tree/eb9fcfc1-f6fa-405f-85c7-690b2fb79ecd/5e97ec6c-e4bf-409e-a38c-6df7dffaf375</v>
      </c>
      <c r="N356" s="5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</row>
    <row r="357" spans="1:14" s="3" customFormat="1" ht="45">
      <c r="A357" s="9">
        <v>352</v>
      </c>
      <c r="B357" s="10" t="s">
        <v>195</v>
      </c>
      <c r="C357" s="11">
        <v>16</v>
      </c>
      <c r="D357" s="10" t="s">
        <v>196</v>
      </c>
      <c r="E357" s="10" t="s">
        <v>197</v>
      </c>
      <c r="F357" s="10">
        <v>53</v>
      </c>
      <c r="G357" s="10">
        <v>21</v>
      </c>
      <c r="H357" s="10">
        <v>11</v>
      </c>
      <c r="I357" s="10"/>
      <c r="J357" s="10" t="s">
        <v>25</v>
      </c>
      <c r="K357" s="10" t="s">
        <v>26</v>
      </c>
      <c r="L357" s="10" t="s">
        <v>57</v>
      </c>
      <c r="M357" s="10" t="str">
        <f>HYPERLINK("http://www.stromypodkontrolou.cz/map/tree/eb9fcfc1-f6fa-405f-85c7-690b2fb79ecd/1e2000a4-bed2-4e8c-9815-961ee95a0e36")</f>
        <v>http://www.stromypodkontrolou.cz/map/tree/eb9fcfc1-f6fa-405f-85c7-690b2fb79ecd/1e2000a4-bed2-4e8c-9815-961ee95a0e36</v>
      </c>
      <c r="N357" s="53"/>
    </row>
    <row r="358" spans="1:207" s="15" customFormat="1" ht="12.75">
      <c r="A358" s="12">
        <v>353</v>
      </c>
      <c r="B358" s="46" t="s">
        <v>198</v>
      </c>
      <c r="C358" s="47">
        <v>10</v>
      </c>
      <c r="D358" s="46" t="s">
        <v>9</v>
      </c>
      <c r="E358" s="46" t="s">
        <v>10</v>
      </c>
      <c r="F358" s="46">
        <v>39</v>
      </c>
      <c r="G358" s="46">
        <v>15</v>
      </c>
      <c r="H358" s="46">
        <v>8</v>
      </c>
      <c r="I358" s="46" t="s">
        <v>23</v>
      </c>
      <c r="J358" s="16" t="s">
        <v>14</v>
      </c>
      <c r="K358" s="16" t="s">
        <v>15</v>
      </c>
      <c r="L358" s="16"/>
      <c r="M358" s="46" t="str">
        <f>HYPERLINK("http://www.stromypodkontrolou.cz/map/tree/eb9fcfc1-f6fa-405f-85c7-690b2fb79ecd/20a92ef1-35c5-4077-8218-769331a0cb1d")</f>
        <v>http://www.stromypodkontrolou.cz/map/tree/eb9fcfc1-f6fa-405f-85c7-690b2fb79ecd/20a92ef1-35c5-4077-8218-769331a0cb1d</v>
      </c>
      <c r="N358" s="5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</row>
    <row r="359" spans="1:207" s="15" customFormat="1" ht="25.5" customHeight="1">
      <c r="A359" s="12">
        <v>354</v>
      </c>
      <c r="B359" s="46" t="s">
        <v>198</v>
      </c>
      <c r="C359" s="47">
        <v>10</v>
      </c>
      <c r="D359" s="46" t="s">
        <v>9</v>
      </c>
      <c r="E359" s="46" t="s">
        <v>10</v>
      </c>
      <c r="F359" s="46">
        <v>39</v>
      </c>
      <c r="G359" s="46">
        <v>15</v>
      </c>
      <c r="H359" s="46">
        <v>8</v>
      </c>
      <c r="I359" s="46" t="s">
        <v>23</v>
      </c>
      <c r="J359" s="16" t="s">
        <v>12</v>
      </c>
      <c r="K359" s="16" t="s">
        <v>13</v>
      </c>
      <c r="L359" s="16" t="s">
        <v>17</v>
      </c>
      <c r="M359" s="46" t="str">
        <f>HYPERLINK("http://www.stromypodkontrolou.cz/map/tree/eb9fcfc1-f6fa-405f-85c7-690b2fb79ecd/20a92ef1-35c5-4077-8218-769331a0cb1d")</f>
        <v>http://www.stromypodkontrolou.cz/map/tree/eb9fcfc1-f6fa-405f-85c7-690b2fb79ecd/20a92ef1-35c5-4077-8218-769331a0cb1d</v>
      </c>
      <c r="N359" s="5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</row>
    <row r="360" spans="1:14" s="3" customFormat="1" ht="22.5">
      <c r="A360" s="9">
        <v>355</v>
      </c>
      <c r="B360" s="38" t="s">
        <v>199</v>
      </c>
      <c r="C360" s="41">
        <v>8</v>
      </c>
      <c r="D360" s="38" t="s">
        <v>9</v>
      </c>
      <c r="E360" s="38" t="s">
        <v>10</v>
      </c>
      <c r="F360" s="38">
        <v>52</v>
      </c>
      <c r="G360" s="38">
        <v>18</v>
      </c>
      <c r="H360" s="38">
        <v>8</v>
      </c>
      <c r="I360" s="38"/>
      <c r="J360" s="10" t="s">
        <v>19</v>
      </c>
      <c r="K360" s="10" t="s">
        <v>20</v>
      </c>
      <c r="L360" s="10"/>
      <c r="M360" s="38" t="str">
        <f>HYPERLINK("http://www.stromypodkontrolou.cz/map/tree/eb9fcfc1-f6fa-405f-85c7-690b2fb79ecd/ada4ea79-c793-4df2-a572-0b8e86bbcdd5")</f>
        <v>http://www.stromypodkontrolou.cz/map/tree/eb9fcfc1-f6fa-405f-85c7-690b2fb79ecd/ada4ea79-c793-4df2-a572-0b8e86bbcdd5</v>
      </c>
      <c r="N360" s="53"/>
    </row>
    <row r="361" spans="1:14" s="3" customFormat="1" ht="22.5">
      <c r="A361" s="9">
        <v>356</v>
      </c>
      <c r="B361" s="38"/>
      <c r="C361" s="41"/>
      <c r="D361" s="38"/>
      <c r="E361" s="38"/>
      <c r="F361" s="38"/>
      <c r="G361" s="38"/>
      <c r="H361" s="38"/>
      <c r="I361" s="38"/>
      <c r="J361" s="10" t="s">
        <v>12</v>
      </c>
      <c r="K361" s="10" t="s">
        <v>13</v>
      </c>
      <c r="L361" s="10" t="s">
        <v>22</v>
      </c>
      <c r="M361" s="38"/>
      <c r="N361" s="53"/>
    </row>
    <row r="362" spans="1:14" s="3" customFormat="1" ht="15.75" customHeight="1">
      <c r="A362" s="9">
        <v>357</v>
      </c>
      <c r="B362" s="38"/>
      <c r="C362" s="41"/>
      <c r="D362" s="38"/>
      <c r="E362" s="38"/>
      <c r="F362" s="38"/>
      <c r="G362" s="38"/>
      <c r="H362" s="38"/>
      <c r="I362" s="38"/>
      <c r="J362" s="10" t="s">
        <v>14</v>
      </c>
      <c r="K362" s="10" t="s">
        <v>15</v>
      </c>
      <c r="L362" s="10"/>
      <c r="M362" s="38"/>
      <c r="N362" s="53"/>
    </row>
    <row r="363" spans="1:207" s="15" customFormat="1" ht="45">
      <c r="A363" s="12">
        <v>358</v>
      </c>
      <c r="B363" s="16" t="s">
        <v>199</v>
      </c>
      <c r="C363" s="14">
        <v>32</v>
      </c>
      <c r="D363" s="16" t="s">
        <v>39</v>
      </c>
      <c r="E363" s="16" t="s">
        <v>40</v>
      </c>
      <c r="F363" s="16">
        <v>39</v>
      </c>
      <c r="G363" s="16">
        <v>16</v>
      </c>
      <c r="H363" s="16">
        <v>5</v>
      </c>
      <c r="I363" s="16"/>
      <c r="J363" s="16" t="s">
        <v>14</v>
      </c>
      <c r="K363" s="16" t="s">
        <v>15</v>
      </c>
      <c r="L363" s="16"/>
      <c r="M363" s="16" t="str">
        <f>HYPERLINK("http://www.stromypodkontrolou.cz/map/tree/eb9fcfc1-f6fa-405f-85c7-690b2fb79ecd/4bb35e00-f0ac-4b42-a282-addf2f3efd69")</f>
        <v>http://www.stromypodkontrolou.cz/map/tree/eb9fcfc1-f6fa-405f-85c7-690b2fb79ecd/4bb35e00-f0ac-4b42-a282-addf2f3efd69</v>
      </c>
      <c r="N363" s="5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</row>
    <row r="364" spans="1:14" s="3" customFormat="1" ht="51" customHeight="1">
      <c r="A364" s="9">
        <v>359</v>
      </c>
      <c r="B364" s="10" t="s">
        <v>199</v>
      </c>
      <c r="C364" s="11">
        <v>35</v>
      </c>
      <c r="D364" s="10" t="s">
        <v>200</v>
      </c>
      <c r="E364" s="10" t="s">
        <v>201</v>
      </c>
      <c r="F364" s="10">
        <v>51</v>
      </c>
      <c r="G364" s="10">
        <v>9</v>
      </c>
      <c r="H364" s="10">
        <v>6</v>
      </c>
      <c r="I364" s="10" t="s">
        <v>202</v>
      </c>
      <c r="J364" s="10" t="s">
        <v>12</v>
      </c>
      <c r="K364" s="10" t="s">
        <v>13</v>
      </c>
      <c r="L364" s="10"/>
      <c r="M364" s="10" t="str">
        <f>HYPERLINK("http://www.stromypodkontrolou.cz/map/tree/eb9fcfc1-f6fa-405f-85c7-690b2fb79ecd/d14638b0-0b74-44b6-bd2b-5cab9708030c")</f>
        <v>http://www.stromypodkontrolou.cz/map/tree/eb9fcfc1-f6fa-405f-85c7-690b2fb79ecd/d14638b0-0b74-44b6-bd2b-5cab9708030c</v>
      </c>
      <c r="N364" s="53"/>
    </row>
    <row r="365" spans="1:207" s="15" customFormat="1" ht="25.5" customHeight="1">
      <c r="A365" s="12">
        <v>360</v>
      </c>
      <c r="B365" s="46" t="s">
        <v>199</v>
      </c>
      <c r="C365" s="47">
        <v>61</v>
      </c>
      <c r="D365" s="46" t="s">
        <v>9</v>
      </c>
      <c r="E365" s="46" t="s">
        <v>10</v>
      </c>
      <c r="F365" s="46">
        <v>37</v>
      </c>
      <c r="G365" s="46">
        <v>17</v>
      </c>
      <c r="H365" s="46">
        <v>5</v>
      </c>
      <c r="I365" s="46" t="s">
        <v>23</v>
      </c>
      <c r="J365" s="16" t="s">
        <v>12</v>
      </c>
      <c r="K365" s="16" t="s">
        <v>13</v>
      </c>
      <c r="L365" s="16" t="s">
        <v>17</v>
      </c>
      <c r="M365" s="46" t="str">
        <f>HYPERLINK("http://www.stromypodkontrolou.cz/map/tree/eb9fcfc1-f6fa-405f-85c7-690b2fb79ecd/462f0412-8d3a-46a7-a971-6ef9c3245d29")</f>
        <v>http://www.stromypodkontrolou.cz/map/tree/eb9fcfc1-f6fa-405f-85c7-690b2fb79ecd/462f0412-8d3a-46a7-a971-6ef9c3245d29</v>
      </c>
      <c r="N365" s="5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</row>
    <row r="366" spans="1:207" s="15" customFormat="1" ht="12.75">
      <c r="A366" s="12">
        <v>361</v>
      </c>
      <c r="B366" s="46" t="s">
        <v>199</v>
      </c>
      <c r="C366" s="47">
        <v>61</v>
      </c>
      <c r="D366" s="46" t="s">
        <v>9</v>
      </c>
      <c r="E366" s="46" t="s">
        <v>10</v>
      </c>
      <c r="F366" s="46">
        <v>37</v>
      </c>
      <c r="G366" s="46">
        <v>17</v>
      </c>
      <c r="H366" s="46">
        <v>5</v>
      </c>
      <c r="I366" s="46" t="s">
        <v>23</v>
      </c>
      <c r="J366" s="16" t="s">
        <v>14</v>
      </c>
      <c r="K366" s="16" t="s">
        <v>15</v>
      </c>
      <c r="L366" s="16"/>
      <c r="M366" s="46" t="str">
        <f>HYPERLINK("http://www.stromypodkontrolou.cz/map/tree/eb9fcfc1-f6fa-405f-85c7-690b2fb79ecd/462f0412-8d3a-46a7-a971-6ef9c3245d29")</f>
        <v>http://www.stromypodkontrolou.cz/map/tree/eb9fcfc1-f6fa-405f-85c7-690b2fb79ecd/462f0412-8d3a-46a7-a971-6ef9c3245d29</v>
      </c>
      <c r="N366" s="5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</row>
    <row r="367" spans="1:14" s="3" customFormat="1" ht="45">
      <c r="A367" s="9">
        <v>362</v>
      </c>
      <c r="B367" s="10" t="s">
        <v>203</v>
      </c>
      <c r="C367" s="11">
        <v>31</v>
      </c>
      <c r="D367" s="10" t="s">
        <v>204</v>
      </c>
      <c r="E367" s="10" t="s">
        <v>205</v>
      </c>
      <c r="F367" s="10">
        <v>7</v>
      </c>
      <c r="G367" s="10">
        <v>4</v>
      </c>
      <c r="H367" s="10">
        <v>2</v>
      </c>
      <c r="I367" s="10"/>
      <c r="J367" s="10" t="s">
        <v>54</v>
      </c>
      <c r="K367" s="10" t="s">
        <v>55</v>
      </c>
      <c r="L367" s="10"/>
      <c r="M367" s="10" t="str">
        <f>HYPERLINK("http://www.stromypodkontrolou.cz/map/tree/eb9fcfc1-f6fa-405f-85c7-690b2fb79ecd/eef54140-4f8e-49f5-9883-5f830e71ca54")</f>
        <v>http://www.stromypodkontrolou.cz/map/tree/eb9fcfc1-f6fa-405f-85c7-690b2fb79ecd/eef54140-4f8e-49f5-9883-5f830e71ca54</v>
      </c>
      <c r="N367" s="53"/>
    </row>
    <row r="368" spans="1:207" s="15" customFormat="1" ht="25.5" customHeight="1">
      <c r="A368" s="12">
        <v>363</v>
      </c>
      <c r="B368" s="16" t="s">
        <v>206</v>
      </c>
      <c r="C368" s="14">
        <v>13</v>
      </c>
      <c r="D368" s="16" t="s">
        <v>27</v>
      </c>
      <c r="E368" s="16" t="s">
        <v>28</v>
      </c>
      <c r="F368" s="16">
        <v>24</v>
      </c>
      <c r="G368" s="16">
        <v>15</v>
      </c>
      <c r="H368" s="16">
        <v>3</v>
      </c>
      <c r="I368" s="16"/>
      <c r="J368" s="16" t="s">
        <v>19</v>
      </c>
      <c r="K368" s="16" t="s">
        <v>20</v>
      </c>
      <c r="L368" s="16"/>
      <c r="M368" s="16" t="str">
        <f>HYPERLINK("http://www.stromypodkontrolou.cz/map/tree/eb9fcfc1-f6fa-405f-85c7-690b2fb79ecd/fd0d742b-23bb-4701-93e3-4778696c2dc8")</f>
        <v>http://www.stromypodkontrolou.cz/map/tree/eb9fcfc1-f6fa-405f-85c7-690b2fb79ecd/fd0d742b-23bb-4701-93e3-4778696c2dc8</v>
      </c>
      <c r="N368" s="5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</row>
    <row r="369" spans="1:14" s="3" customFormat="1" ht="45">
      <c r="A369" s="9">
        <v>364</v>
      </c>
      <c r="B369" s="10" t="s">
        <v>207</v>
      </c>
      <c r="C369" s="11">
        <v>16</v>
      </c>
      <c r="D369" s="10" t="s">
        <v>64</v>
      </c>
      <c r="E369" s="10" t="s">
        <v>65</v>
      </c>
      <c r="F369" s="10">
        <v>39</v>
      </c>
      <c r="G369" s="10">
        <v>21</v>
      </c>
      <c r="H369" s="10">
        <v>8</v>
      </c>
      <c r="I369" s="10"/>
      <c r="J369" s="10" t="s">
        <v>14</v>
      </c>
      <c r="K369" s="10" t="s">
        <v>15</v>
      </c>
      <c r="L369" s="10"/>
      <c r="M369" s="10" t="str">
        <f>HYPERLINK("http://www.stromypodkontrolou.cz/map/tree/eb9fcfc1-f6fa-405f-85c7-690b2fb79ecd/964ff33b-d132-402a-b8b9-9a37e4fd8bdb")</f>
        <v>http://www.stromypodkontrolou.cz/map/tree/eb9fcfc1-f6fa-405f-85c7-690b2fb79ecd/964ff33b-d132-402a-b8b9-9a37e4fd8bdb</v>
      </c>
      <c r="N369" s="53"/>
    </row>
    <row r="370" spans="1:207" s="15" customFormat="1" ht="12.75">
      <c r="A370" s="12">
        <v>365</v>
      </c>
      <c r="B370" s="46" t="s">
        <v>208</v>
      </c>
      <c r="C370" s="47">
        <v>1</v>
      </c>
      <c r="D370" s="46" t="s">
        <v>64</v>
      </c>
      <c r="E370" s="46" t="s">
        <v>65</v>
      </c>
      <c r="F370" s="46">
        <v>27</v>
      </c>
      <c r="G370" s="46">
        <v>19</v>
      </c>
      <c r="H370" s="46">
        <v>5</v>
      </c>
      <c r="I370" s="46"/>
      <c r="J370" s="16" t="s">
        <v>14</v>
      </c>
      <c r="K370" s="16" t="s">
        <v>15</v>
      </c>
      <c r="L370" s="43"/>
      <c r="M370" s="46" t="str">
        <f>HYPERLINK("http://www.stromypodkontrolou.cz/map/tree/eb9fcfc1-f6fa-405f-85c7-690b2fb79ecd/96924f94-641f-45c0-bfff-bda2c553174e")</f>
        <v>http://www.stromypodkontrolou.cz/map/tree/eb9fcfc1-f6fa-405f-85c7-690b2fb79ecd/96924f94-641f-45c0-bfff-bda2c553174e</v>
      </c>
      <c r="N370" s="5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</row>
    <row r="371" spans="1:207" s="15" customFormat="1" ht="22.5">
      <c r="A371" s="12">
        <v>366</v>
      </c>
      <c r="B371" s="46" t="s">
        <v>208</v>
      </c>
      <c r="C371" s="47">
        <v>1</v>
      </c>
      <c r="D371" s="46" t="s">
        <v>64</v>
      </c>
      <c r="E371" s="46" t="s">
        <v>65</v>
      </c>
      <c r="F371" s="46">
        <v>27</v>
      </c>
      <c r="G371" s="46">
        <v>19</v>
      </c>
      <c r="H371" s="46">
        <v>5</v>
      </c>
      <c r="I371" s="46"/>
      <c r="J371" s="16" t="s">
        <v>25</v>
      </c>
      <c r="K371" s="16" t="s">
        <v>26</v>
      </c>
      <c r="L371" s="43"/>
      <c r="M371" s="46" t="str">
        <f>HYPERLINK("http://www.stromypodkontrolou.cz/map/tree/eb9fcfc1-f6fa-405f-85c7-690b2fb79ecd/96924f94-641f-45c0-bfff-bda2c553174e")</f>
        <v>http://www.stromypodkontrolou.cz/map/tree/eb9fcfc1-f6fa-405f-85c7-690b2fb79ecd/96924f94-641f-45c0-bfff-bda2c553174e</v>
      </c>
      <c r="N371" s="5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</row>
    <row r="372" spans="1:14" s="3" customFormat="1" ht="45">
      <c r="A372" s="9">
        <v>367</v>
      </c>
      <c r="B372" s="10" t="s">
        <v>209</v>
      </c>
      <c r="C372" s="11">
        <v>24</v>
      </c>
      <c r="D372" s="10" t="s">
        <v>83</v>
      </c>
      <c r="E372" s="10" t="s">
        <v>84</v>
      </c>
      <c r="F372" s="10">
        <v>6</v>
      </c>
      <c r="G372" s="10">
        <v>4</v>
      </c>
      <c r="H372" s="10">
        <v>2</v>
      </c>
      <c r="I372" s="10" t="s">
        <v>210</v>
      </c>
      <c r="J372" s="10" t="s">
        <v>54</v>
      </c>
      <c r="K372" s="10" t="s">
        <v>55</v>
      </c>
      <c r="L372" s="10"/>
      <c r="M372" s="10" t="str">
        <f>HYPERLINK("http://www.stromypodkontrolou.cz/map/tree/eb9fcfc1-f6fa-405f-85c7-690b2fb79ecd/a43db69d-b590-4ffb-926e-08b4ada63e97")</f>
        <v>http://www.stromypodkontrolou.cz/map/tree/eb9fcfc1-f6fa-405f-85c7-690b2fb79ecd/a43db69d-b590-4ffb-926e-08b4ada63e97</v>
      </c>
      <c r="N372" s="53"/>
    </row>
    <row r="373" spans="1:207" s="15" customFormat="1" ht="45">
      <c r="A373" s="12">
        <v>368</v>
      </c>
      <c r="B373" s="16" t="s">
        <v>211</v>
      </c>
      <c r="C373" s="14">
        <v>1</v>
      </c>
      <c r="D373" s="16" t="s">
        <v>27</v>
      </c>
      <c r="E373" s="16" t="s">
        <v>28</v>
      </c>
      <c r="F373" s="16">
        <v>36</v>
      </c>
      <c r="G373" s="16">
        <v>17</v>
      </c>
      <c r="H373" s="16">
        <v>10</v>
      </c>
      <c r="I373" s="16"/>
      <c r="J373" s="16" t="s">
        <v>19</v>
      </c>
      <c r="K373" s="16" t="s">
        <v>20</v>
      </c>
      <c r="L373" s="16"/>
      <c r="M373" s="16" t="str">
        <f>HYPERLINK("http://www.stromypodkontrolou.cz/map/tree/eb9fcfc1-f6fa-405f-85c7-690b2fb79ecd/a4e922d7-a429-47dc-935a-9f38f9e80f5b")</f>
        <v>http://www.stromypodkontrolou.cz/map/tree/eb9fcfc1-f6fa-405f-85c7-690b2fb79ecd/a4e922d7-a429-47dc-935a-9f38f9e80f5b</v>
      </c>
      <c r="N373" s="5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</row>
    <row r="374" spans="1:14" s="3" customFormat="1" ht="45">
      <c r="A374" s="9">
        <v>369</v>
      </c>
      <c r="B374" s="10" t="s">
        <v>211</v>
      </c>
      <c r="C374" s="11">
        <v>3</v>
      </c>
      <c r="D374" s="10" t="s">
        <v>9</v>
      </c>
      <c r="E374" s="10" t="s">
        <v>10</v>
      </c>
      <c r="F374" s="10">
        <v>28</v>
      </c>
      <c r="G374" s="10">
        <v>14</v>
      </c>
      <c r="H374" s="10">
        <v>4</v>
      </c>
      <c r="I374" s="10" t="s">
        <v>129</v>
      </c>
      <c r="J374" s="10" t="s">
        <v>14</v>
      </c>
      <c r="K374" s="10" t="s">
        <v>15</v>
      </c>
      <c r="L374" s="10"/>
      <c r="M374" s="10" t="str">
        <f>HYPERLINK("http://www.stromypodkontrolou.cz/map/tree/eb9fcfc1-f6fa-405f-85c7-690b2fb79ecd/38dfa6af-c40e-4eb1-81e4-dd1160b8d300")</f>
        <v>http://www.stromypodkontrolou.cz/map/tree/eb9fcfc1-f6fa-405f-85c7-690b2fb79ecd/38dfa6af-c40e-4eb1-81e4-dd1160b8d300</v>
      </c>
      <c r="N374" s="53"/>
    </row>
    <row r="375" spans="1:207" s="15" customFormat="1" ht="12.75">
      <c r="A375" s="12">
        <v>370</v>
      </c>
      <c r="B375" s="46" t="s">
        <v>211</v>
      </c>
      <c r="C375" s="47">
        <v>23</v>
      </c>
      <c r="D375" s="46" t="s">
        <v>9</v>
      </c>
      <c r="E375" s="46" t="s">
        <v>10</v>
      </c>
      <c r="F375" s="46">
        <v>31</v>
      </c>
      <c r="G375" s="46">
        <v>16</v>
      </c>
      <c r="H375" s="46">
        <v>4</v>
      </c>
      <c r="I375" s="46" t="s">
        <v>212</v>
      </c>
      <c r="J375" s="16" t="s">
        <v>14</v>
      </c>
      <c r="K375" s="16" t="s">
        <v>15</v>
      </c>
      <c r="L375" s="43"/>
      <c r="M375" s="46" t="str">
        <f>HYPERLINK("http://www.stromypodkontrolou.cz/map/tree/eb9fcfc1-f6fa-405f-85c7-690b2fb79ecd/4526f40d-cab0-424e-8b3f-ef6a23a53e2f")</f>
        <v>http://www.stromypodkontrolou.cz/map/tree/eb9fcfc1-f6fa-405f-85c7-690b2fb79ecd/4526f40d-cab0-424e-8b3f-ef6a23a53e2f</v>
      </c>
      <c r="N375" s="5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</row>
    <row r="376" spans="1:207" s="15" customFormat="1" ht="22.5">
      <c r="A376" s="12">
        <v>371</v>
      </c>
      <c r="B376" s="46" t="s">
        <v>211</v>
      </c>
      <c r="C376" s="47">
        <v>23</v>
      </c>
      <c r="D376" s="46" t="s">
        <v>9</v>
      </c>
      <c r="E376" s="46" t="s">
        <v>10</v>
      </c>
      <c r="F376" s="46">
        <v>31</v>
      </c>
      <c r="G376" s="46">
        <v>16</v>
      </c>
      <c r="H376" s="46">
        <v>4</v>
      </c>
      <c r="I376" s="46" t="s">
        <v>212</v>
      </c>
      <c r="J376" s="16" t="s">
        <v>12</v>
      </c>
      <c r="K376" s="16" t="s">
        <v>13</v>
      </c>
      <c r="L376" s="43"/>
      <c r="M376" s="46" t="str">
        <f>HYPERLINK("http://www.stromypodkontrolou.cz/map/tree/eb9fcfc1-f6fa-405f-85c7-690b2fb79ecd/4526f40d-cab0-424e-8b3f-ef6a23a53e2f")</f>
        <v>http://www.stromypodkontrolou.cz/map/tree/eb9fcfc1-f6fa-405f-85c7-690b2fb79ecd/4526f40d-cab0-424e-8b3f-ef6a23a53e2f</v>
      </c>
      <c r="N376" s="5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</row>
    <row r="377" spans="1:14" s="3" customFormat="1" ht="22.5">
      <c r="A377" s="9">
        <v>372</v>
      </c>
      <c r="B377" s="38" t="s">
        <v>211</v>
      </c>
      <c r="C377" s="41">
        <v>91</v>
      </c>
      <c r="D377" s="38" t="s">
        <v>9</v>
      </c>
      <c r="E377" s="38" t="s">
        <v>10</v>
      </c>
      <c r="F377" s="38">
        <v>34</v>
      </c>
      <c r="G377" s="38">
        <v>18</v>
      </c>
      <c r="H377" s="38">
        <v>6</v>
      </c>
      <c r="I377" s="38"/>
      <c r="J377" s="10" t="s">
        <v>19</v>
      </c>
      <c r="K377" s="10" t="s">
        <v>20</v>
      </c>
      <c r="L377" s="42"/>
      <c r="M377" s="38" t="str">
        <f>HYPERLINK("http://www.stromypodkontrolou.cz/map/tree/eb9fcfc1-f6fa-405f-85c7-690b2fb79ecd/042cb96d-48e1-464a-b8a7-5f58d16c68a0")</f>
        <v>http://www.stromypodkontrolou.cz/map/tree/eb9fcfc1-f6fa-405f-85c7-690b2fb79ecd/042cb96d-48e1-464a-b8a7-5f58d16c68a0</v>
      </c>
      <c r="N377" s="53"/>
    </row>
    <row r="378" spans="1:14" s="3" customFormat="1" ht="12.75">
      <c r="A378" s="9">
        <v>373</v>
      </c>
      <c r="B378" s="38"/>
      <c r="C378" s="41"/>
      <c r="D378" s="38"/>
      <c r="E378" s="38"/>
      <c r="F378" s="38"/>
      <c r="G378" s="38"/>
      <c r="H378" s="38"/>
      <c r="I378" s="38"/>
      <c r="J378" s="10" t="s">
        <v>14</v>
      </c>
      <c r="K378" s="10" t="s">
        <v>15</v>
      </c>
      <c r="L378" s="42"/>
      <c r="M378" s="38"/>
      <c r="N378" s="53"/>
    </row>
    <row r="379" spans="1:207" s="15" customFormat="1" ht="22.5">
      <c r="A379" s="12">
        <v>374</v>
      </c>
      <c r="B379" s="46" t="s">
        <v>211</v>
      </c>
      <c r="C379" s="47">
        <v>92</v>
      </c>
      <c r="D379" s="46" t="s">
        <v>9</v>
      </c>
      <c r="E379" s="46" t="s">
        <v>10</v>
      </c>
      <c r="F379" s="46">
        <v>37</v>
      </c>
      <c r="G379" s="46">
        <v>19</v>
      </c>
      <c r="H379" s="46">
        <v>7</v>
      </c>
      <c r="I379" s="46"/>
      <c r="J379" s="16" t="s">
        <v>19</v>
      </c>
      <c r="K379" s="16" t="s">
        <v>20</v>
      </c>
      <c r="L379" s="43"/>
      <c r="M379" s="46" t="str">
        <f>HYPERLINK("http://www.stromypodkontrolou.cz/map/tree/eb9fcfc1-f6fa-405f-85c7-690b2fb79ecd/61196131-f2e0-48af-bbcb-585d812c2026")</f>
        <v>http://www.stromypodkontrolou.cz/map/tree/eb9fcfc1-f6fa-405f-85c7-690b2fb79ecd/61196131-f2e0-48af-bbcb-585d812c2026</v>
      </c>
      <c r="N379" s="5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</row>
    <row r="380" spans="1:207" s="15" customFormat="1" ht="12.75">
      <c r="A380" s="12">
        <v>375</v>
      </c>
      <c r="B380" s="46"/>
      <c r="C380" s="47"/>
      <c r="D380" s="46"/>
      <c r="E380" s="46"/>
      <c r="F380" s="46"/>
      <c r="G380" s="46"/>
      <c r="H380" s="46"/>
      <c r="I380" s="46"/>
      <c r="J380" s="16" t="s">
        <v>14</v>
      </c>
      <c r="K380" s="16" t="s">
        <v>15</v>
      </c>
      <c r="L380" s="43"/>
      <c r="M380" s="46"/>
      <c r="N380" s="5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</row>
    <row r="381" spans="1:14" s="3" customFormat="1" ht="45">
      <c r="A381" s="9">
        <v>376</v>
      </c>
      <c r="B381" s="10" t="s">
        <v>213</v>
      </c>
      <c r="C381" s="11">
        <v>5</v>
      </c>
      <c r="D381" s="10" t="s">
        <v>27</v>
      </c>
      <c r="E381" s="10" t="s">
        <v>28</v>
      </c>
      <c r="F381" s="10">
        <v>46</v>
      </c>
      <c r="G381" s="10">
        <v>20</v>
      </c>
      <c r="H381" s="10">
        <v>10</v>
      </c>
      <c r="I381" s="10"/>
      <c r="J381" s="10" t="s">
        <v>97</v>
      </c>
      <c r="K381" s="10" t="s">
        <v>98</v>
      </c>
      <c r="L381" s="10"/>
      <c r="M381" s="10" t="str">
        <f>HYPERLINK("http://www.stromypodkontrolou.cz/map/tree/eb9fcfc1-f6fa-405f-85c7-690b2fb79ecd/cf95dd4e-6cfe-4fb2-ad86-4e3f194489d9")</f>
        <v>http://www.stromypodkontrolou.cz/map/tree/eb9fcfc1-f6fa-405f-85c7-690b2fb79ecd/cf95dd4e-6cfe-4fb2-ad86-4e3f194489d9</v>
      </c>
      <c r="N381" s="53"/>
    </row>
    <row r="382" spans="1:207" s="15" customFormat="1" ht="22.5">
      <c r="A382" s="12">
        <v>377</v>
      </c>
      <c r="B382" s="46" t="s">
        <v>213</v>
      </c>
      <c r="C382" s="47">
        <v>6</v>
      </c>
      <c r="D382" s="46" t="s">
        <v>47</v>
      </c>
      <c r="E382" s="46" t="s">
        <v>48</v>
      </c>
      <c r="F382" s="46">
        <v>43</v>
      </c>
      <c r="G382" s="46">
        <v>19</v>
      </c>
      <c r="H382" s="46">
        <v>7</v>
      </c>
      <c r="I382" s="46" t="s">
        <v>23</v>
      </c>
      <c r="J382" s="16" t="s">
        <v>25</v>
      </c>
      <c r="K382" s="16" t="s">
        <v>26</v>
      </c>
      <c r="L382" s="43"/>
      <c r="M382" s="46" t="str">
        <f>HYPERLINK("http://www.stromypodkontrolou.cz/map/tree/eb9fcfc1-f6fa-405f-85c7-690b2fb79ecd/0380dba7-59be-4377-9680-9317b41eac68")</f>
        <v>http://www.stromypodkontrolou.cz/map/tree/eb9fcfc1-f6fa-405f-85c7-690b2fb79ecd/0380dba7-59be-4377-9680-9317b41eac68</v>
      </c>
      <c r="N382" s="5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</row>
    <row r="383" spans="1:207" s="15" customFormat="1" ht="12.75">
      <c r="A383" s="12">
        <v>378</v>
      </c>
      <c r="B383" s="46" t="s">
        <v>213</v>
      </c>
      <c r="C383" s="47">
        <v>6</v>
      </c>
      <c r="D383" s="46" t="s">
        <v>47</v>
      </c>
      <c r="E383" s="46" t="s">
        <v>48</v>
      </c>
      <c r="F383" s="46">
        <v>43</v>
      </c>
      <c r="G383" s="46">
        <v>19</v>
      </c>
      <c r="H383" s="46">
        <v>7</v>
      </c>
      <c r="I383" s="46" t="s">
        <v>23</v>
      </c>
      <c r="J383" s="16" t="s">
        <v>14</v>
      </c>
      <c r="K383" s="16" t="s">
        <v>15</v>
      </c>
      <c r="L383" s="43"/>
      <c r="M383" s="46" t="str">
        <f>HYPERLINK("http://www.stromypodkontrolou.cz/map/tree/eb9fcfc1-f6fa-405f-85c7-690b2fb79ecd/0380dba7-59be-4377-9680-9317b41eac68")</f>
        <v>http://www.stromypodkontrolou.cz/map/tree/eb9fcfc1-f6fa-405f-85c7-690b2fb79ecd/0380dba7-59be-4377-9680-9317b41eac68</v>
      </c>
      <c r="N383" s="5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</row>
    <row r="384" spans="1:207" s="15" customFormat="1" ht="15.75" customHeight="1">
      <c r="A384" s="12">
        <v>379</v>
      </c>
      <c r="B384" s="46" t="s">
        <v>213</v>
      </c>
      <c r="C384" s="47">
        <v>6</v>
      </c>
      <c r="D384" s="46" t="s">
        <v>47</v>
      </c>
      <c r="E384" s="46" t="s">
        <v>48</v>
      </c>
      <c r="F384" s="46">
        <v>43</v>
      </c>
      <c r="G384" s="46">
        <v>19</v>
      </c>
      <c r="H384" s="46">
        <v>7</v>
      </c>
      <c r="I384" s="46" t="s">
        <v>23</v>
      </c>
      <c r="J384" s="16" t="s">
        <v>12</v>
      </c>
      <c r="K384" s="16" t="s">
        <v>13</v>
      </c>
      <c r="L384" s="43"/>
      <c r="M384" s="46" t="str">
        <f>HYPERLINK("http://www.stromypodkontrolou.cz/map/tree/eb9fcfc1-f6fa-405f-85c7-690b2fb79ecd/0380dba7-59be-4377-9680-9317b41eac68")</f>
        <v>http://www.stromypodkontrolou.cz/map/tree/eb9fcfc1-f6fa-405f-85c7-690b2fb79ecd/0380dba7-59be-4377-9680-9317b41eac68</v>
      </c>
      <c r="N384" s="5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</row>
    <row r="385" spans="1:14" s="3" customFormat="1" ht="12.75">
      <c r="A385" s="9">
        <v>380</v>
      </c>
      <c r="B385" s="38" t="s">
        <v>213</v>
      </c>
      <c r="C385" s="41">
        <v>25</v>
      </c>
      <c r="D385" s="38" t="s">
        <v>47</v>
      </c>
      <c r="E385" s="38" t="s">
        <v>48</v>
      </c>
      <c r="F385" s="38">
        <v>49</v>
      </c>
      <c r="G385" s="38">
        <v>17</v>
      </c>
      <c r="H385" s="38">
        <v>8</v>
      </c>
      <c r="I385" s="38" t="s">
        <v>214</v>
      </c>
      <c r="J385" s="10" t="s">
        <v>14</v>
      </c>
      <c r="K385" s="10" t="s">
        <v>15</v>
      </c>
      <c r="L385" s="10"/>
      <c r="M385" s="38" t="str">
        <f>HYPERLINK("http://www.stromypodkontrolou.cz/map/tree/eb9fcfc1-f6fa-405f-85c7-690b2fb79ecd/d064ace9-45e0-415a-8ec8-1bf0f209ee75")</f>
        <v>http://www.stromypodkontrolou.cz/map/tree/eb9fcfc1-f6fa-405f-85c7-690b2fb79ecd/d064ace9-45e0-415a-8ec8-1bf0f209ee75</v>
      </c>
      <c r="N385" s="53"/>
    </row>
    <row r="386" spans="1:14" s="3" customFormat="1" ht="25.5" customHeight="1">
      <c r="A386" s="9">
        <v>381</v>
      </c>
      <c r="B386" s="38" t="s">
        <v>213</v>
      </c>
      <c r="C386" s="41">
        <v>25</v>
      </c>
      <c r="D386" s="38" t="s">
        <v>47</v>
      </c>
      <c r="E386" s="38" t="s">
        <v>48</v>
      </c>
      <c r="F386" s="38">
        <v>49</v>
      </c>
      <c r="G386" s="38">
        <v>17</v>
      </c>
      <c r="H386" s="38">
        <v>8</v>
      </c>
      <c r="I386" s="38" t="s">
        <v>214</v>
      </c>
      <c r="J386" s="10" t="s">
        <v>12</v>
      </c>
      <c r="K386" s="10" t="s">
        <v>13</v>
      </c>
      <c r="L386" s="10" t="s">
        <v>17</v>
      </c>
      <c r="M386" s="38" t="str">
        <f>HYPERLINK("http://www.stromypodkontrolou.cz/map/tree/eb9fcfc1-f6fa-405f-85c7-690b2fb79ecd/d064ace9-45e0-415a-8ec8-1bf0f209ee75")</f>
        <v>http://www.stromypodkontrolou.cz/map/tree/eb9fcfc1-f6fa-405f-85c7-690b2fb79ecd/d064ace9-45e0-415a-8ec8-1bf0f209ee75</v>
      </c>
      <c r="N386" s="53"/>
    </row>
    <row r="387" spans="1:207" s="15" customFormat="1" ht="45">
      <c r="A387" s="12">
        <v>382</v>
      </c>
      <c r="B387" s="16" t="s">
        <v>213</v>
      </c>
      <c r="C387" s="14">
        <v>29</v>
      </c>
      <c r="D387" s="16" t="s">
        <v>64</v>
      </c>
      <c r="E387" s="16" t="s">
        <v>65</v>
      </c>
      <c r="F387" s="16">
        <v>30</v>
      </c>
      <c r="G387" s="16">
        <v>20</v>
      </c>
      <c r="H387" s="16">
        <v>8</v>
      </c>
      <c r="I387" s="16"/>
      <c r="J387" s="16" t="s">
        <v>97</v>
      </c>
      <c r="K387" s="16" t="s">
        <v>98</v>
      </c>
      <c r="L387" s="16"/>
      <c r="M387" s="16" t="str">
        <f>HYPERLINK("http://www.stromypodkontrolou.cz/map/tree/eb9fcfc1-f6fa-405f-85c7-690b2fb79ecd/e81de575-2eac-4d7c-8071-a37e95399392")</f>
        <v>http://www.stromypodkontrolou.cz/map/tree/eb9fcfc1-f6fa-405f-85c7-690b2fb79ecd/e81de575-2eac-4d7c-8071-a37e95399392</v>
      </c>
      <c r="N387" s="5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</row>
    <row r="388" spans="1:14" s="3" customFormat="1" ht="45">
      <c r="A388" s="9">
        <v>383</v>
      </c>
      <c r="B388" s="10" t="s">
        <v>213</v>
      </c>
      <c r="C388" s="11">
        <v>51</v>
      </c>
      <c r="D388" s="10" t="s">
        <v>47</v>
      </c>
      <c r="E388" s="10" t="s">
        <v>48</v>
      </c>
      <c r="F388" s="10">
        <v>45</v>
      </c>
      <c r="G388" s="10">
        <v>18</v>
      </c>
      <c r="H388" s="10">
        <v>12</v>
      </c>
      <c r="I388" s="10" t="s">
        <v>215</v>
      </c>
      <c r="J388" s="10" t="s">
        <v>14</v>
      </c>
      <c r="K388" s="10" t="s">
        <v>15</v>
      </c>
      <c r="L388" s="10"/>
      <c r="M388" s="10" t="str">
        <f>HYPERLINK("http://www.stromypodkontrolou.cz/map/tree/eb9fcfc1-f6fa-405f-85c7-690b2fb79ecd/a9b13987-0e9e-41dd-8cf1-01b717092e50")</f>
        <v>http://www.stromypodkontrolou.cz/map/tree/eb9fcfc1-f6fa-405f-85c7-690b2fb79ecd/a9b13987-0e9e-41dd-8cf1-01b717092e50</v>
      </c>
      <c r="N388" s="53"/>
    </row>
    <row r="389" spans="1:207" s="15" customFormat="1" ht="45">
      <c r="A389" s="12">
        <v>384</v>
      </c>
      <c r="B389" s="16" t="s">
        <v>213</v>
      </c>
      <c r="C389" s="14">
        <v>57</v>
      </c>
      <c r="D389" s="16" t="s">
        <v>27</v>
      </c>
      <c r="E389" s="16" t="s">
        <v>28</v>
      </c>
      <c r="F389" s="16">
        <v>46</v>
      </c>
      <c r="G389" s="16">
        <v>22</v>
      </c>
      <c r="H389" s="16">
        <v>10</v>
      </c>
      <c r="I389" s="16"/>
      <c r="J389" s="16" t="s">
        <v>97</v>
      </c>
      <c r="K389" s="16" t="s">
        <v>98</v>
      </c>
      <c r="L389" s="16"/>
      <c r="M389" s="16" t="str">
        <f>HYPERLINK("http://www.stromypodkontrolou.cz/map/tree/eb9fcfc1-f6fa-405f-85c7-690b2fb79ecd/9a2ba973-21c7-4eb6-8292-e716deab5fd2")</f>
        <v>http://www.stromypodkontrolou.cz/map/tree/eb9fcfc1-f6fa-405f-85c7-690b2fb79ecd/9a2ba973-21c7-4eb6-8292-e716deab5fd2</v>
      </c>
      <c r="N389" s="5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</row>
    <row r="390" spans="1:14" s="3" customFormat="1" ht="12.75">
      <c r="A390" s="9">
        <v>385</v>
      </c>
      <c r="B390" s="38" t="s">
        <v>213</v>
      </c>
      <c r="C390" s="41">
        <v>58</v>
      </c>
      <c r="D390" s="38" t="s">
        <v>47</v>
      </c>
      <c r="E390" s="38" t="s">
        <v>48</v>
      </c>
      <c r="F390" s="38">
        <v>40</v>
      </c>
      <c r="G390" s="38">
        <v>15</v>
      </c>
      <c r="H390" s="38">
        <v>8</v>
      </c>
      <c r="I390" s="38" t="s">
        <v>215</v>
      </c>
      <c r="J390" s="10" t="s">
        <v>14</v>
      </c>
      <c r="K390" s="10" t="s">
        <v>15</v>
      </c>
      <c r="L390" s="10"/>
      <c r="M390" s="38" t="str">
        <f>HYPERLINK("http://www.stromypodkontrolou.cz/map/tree/eb9fcfc1-f6fa-405f-85c7-690b2fb79ecd/6d6af415-ea19-4fec-95e3-eea57c7b87b2")</f>
        <v>http://www.stromypodkontrolou.cz/map/tree/eb9fcfc1-f6fa-405f-85c7-690b2fb79ecd/6d6af415-ea19-4fec-95e3-eea57c7b87b2</v>
      </c>
      <c r="N390" s="53"/>
    </row>
    <row r="391" spans="1:14" s="3" customFormat="1" ht="25.5" customHeight="1">
      <c r="A391" s="9">
        <v>386</v>
      </c>
      <c r="B391" s="38" t="s">
        <v>213</v>
      </c>
      <c r="C391" s="41">
        <v>58</v>
      </c>
      <c r="D391" s="38" t="s">
        <v>47</v>
      </c>
      <c r="E391" s="38" t="s">
        <v>48</v>
      </c>
      <c r="F391" s="38">
        <v>40</v>
      </c>
      <c r="G391" s="38">
        <v>15</v>
      </c>
      <c r="H391" s="38">
        <v>8</v>
      </c>
      <c r="I391" s="38" t="s">
        <v>215</v>
      </c>
      <c r="J391" s="10" t="s">
        <v>12</v>
      </c>
      <c r="K391" s="10" t="s">
        <v>13</v>
      </c>
      <c r="L391" s="10" t="s">
        <v>17</v>
      </c>
      <c r="M391" s="38" t="str">
        <f>HYPERLINK("http://www.stromypodkontrolou.cz/map/tree/eb9fcfc1-f6fa-405f-85c7-690b2fb79ecd/6d6af415-ea19-4fec-95e3-eea57c7b87b2")</f>
        <v>http://www.stromypodkontrolou.cz/map/tree/eb9fcfc1-f6fa-405f-85c7-690b2fb79ecd/6d6af415-ea19-4fec-95e3-eea57c7b87b2</v>
      </c>
      <c r="N391" s="53"/>
    </row>
    <row r="392" spans="1:207" s="15" customFormat="1" ht="12.75">
      <c r="A392" s="12">
        <v>387</v>
      </c>
      <c r="B392" s="46" t="s">
        <v>213</v>
      </c>
      <c r="C392" s="47">
        <v>98</v>
      </c>
      <c r="D392" s="46" t="s">
        <v>64</v>
      </c>
      <c r="E392" s="46" t="s">
        <v>65</v>
      </c>
      <c r="F392" s="46">
        <v>32</v>
      </c>
      <c r="G392" s="46">
        <v>20</v>
      </c>
      <c r="H392" s="46">
        <v>7</v>
      </c>
      <c r="I392" s="46"/>
      <c r="J392" s="16" t="s">
        <v>97</v>
      </c>
      <c r="K392" s="16" t="s">
        <v>98</v>
      </c>
      <c r="L392" s="43"/>
      <c r="M392" s="46" t="str">
        <f>HYPERLINK("http://www.stromypodkontrolou.cz/map/tree/eb9fcfc1-f6fa-405f-85c7-690b2fb79ecd/0c1d4c00-7f7e-492e-9f6f-6d8955f2397f")</f>
        <v>http://www.stromypodkontrolou.cz/map/tree/eb9fcfc1-f6fa-405f-85c7-690b2fb79ecd/0c1d4c00-7f7e-492e-9f6f-6d8955f2397f</v>
      </c>
      <c r="N392" s="5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</row>
    <row r="393" spans="1:207" s="15" customFormat="1" ht="22.5">
      <c r="A393" s="12">
        <v>388</v>
      </c>
      <c r="B393" s="46" t="s">
        <v>213</v>
      </c>
      <c r="C393" s="47">
        <v>98</v>
      </c>
      <c r="D393" s="46" t="s">
        <v>64</v>
      </c>
      <c r="E393" s="46" t="s">
        <v>65</v>
      </c>
      <c r="F393" s="46">
        <v>32</v>
      </c>
      <c r="G393" s="46">
        <v>20</v>
      </c>
      <c r="H393" s="46">
        <v>7</v>
      </c>
      <c r="I393" s="46"/>
      <c r="J393" s="16" t="s">
        <v>12</v>
      </c>
      <c r="K393" s="16" t="s">
        <v>13</v>
      </c>
      <c r="L393" s="43"/>
      <c r="M393" s="46" t="str">
        <f>HYPERLINK("http://www.stromypodkontrolou.cz/map/tree/eb9fcfc1-f6fa-405f-85c7-690b2fb79ecd/0c1d4c00-7f7e-492e-9f6f-6d8955f2397f")</f>
        <v>http://www.stromypodkontrolou.cz/map/tree/eb9fcfc1-f6fa-405f-85c7-690b2fb79ecd/0c1d4c00-7f7e-492e-9f6f-6d8955f2397f</v>
      </c>
      <c r="N393" s="5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</row>
    <row r="394" spans="1:14" s="3" customFormat="1" ht="45">
      <c r="A394" s="9">
        <v>389</v>
      </c>
      <c r="B394" s="10" t="s">
        <v>213</v>
      </c>
      <c r="C394" s="11">
        <v>101</v>
      </c>
      <c r="D394" s="10" t="s">
        <v>9</v>
      </c>
      <c r="E394" s="10" t="s">
        <v>10</v>
      </c>
      <c r="F394" s="10">
        <v>24</v>
      </c>
      <c r="G394" s="10">
        <v>16</v>
      </c>
      <c r="H394" s="10">
        <v>7</v>
      </c>
      <c r="I394" s="10"/>
      <c r="J394" s="10" t="s">
        <v>14</v>
      </c>
      <c r="K394" s="10" t="s">
        <v>15</v>
      </c>
      <c r="L394" s="10"/>
      <c r="M394" s="10" t="str">
        <f>HYPERLINK("http://www.stromypodkontrolou.cz/map/tree/eb9fcfc1-f6fa-405f-85c7-690b2fb79ecd/a217ff4a-2d24-4ac6-ab51-ff071d0ccd78")</f>
        <v>http://www.stromypodkontrolou.cz/map/tree/eb9fcfc1-f6fa-405f-85c7-690b2fb79ecd/a217ff4a-2d24-4ac6-ab51-ff071d0ccd78</v>
      </c>
      <c r="N394" s="53"/>
    </row>
    <row r="395" spans="1:207" s="15" customFormat="1" ht="45">
      <c r="A395" s="12">
        <v>390</v>
      </c>
      <c r="B395" s="16" t="s">
        <v>213</v>
      </c>
      <c r="C395" s="14">
        <v>117</v>
      </c>
      <c r="D395" s="16" t="s">
        <v>47</v>
      </c>
      <c r="E395" s="16" t="s">
        <v>48</v>
      </c>
      <c r="F395" s="16">
        <v>60</v>
      </c>
      <c r="G395" s="16">
        <v>18</v>
      </c>
      <c r="H395" s="16">
        <v>9</v>
      </c>
      <c r="I395" s="16" t="s">
        <v>216</v>
      </c>
      <c r="J395" s="16" t="s">
        <v>97</v>
      </c>
      <c r="K395" s="16" t="s">
        <v>98</v>
      </c>
      <c r="L395" s="16"/>
      <c r="M395" s="16" t="str">
        <f>HYPERLINK("http://www.stromypodkontrolou.cz/map/tree/eb9fcfc1-f6fa-405f-85c7-690b2fb79ecd/148ac88b-7566-4692-abbc-658f2b77b116")</f>
        <v>http://www.stromypodkontrolou.cz/map/tree/eb9fcfc1-f6fa-405f-85c7-690b2fb79ecd/148ac88b-7566-4692-abbc-658f2b77b116</v>
      </c>
      <c r="N395" s="5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</row>
    <row r="396" spans="1:14" s="3" customFormat="1" ht="45">
      <c r="A396" s="9">
        <v>391</v>
      </c>
      <c r="B396" s="10" t="s">
        <v>217</v>
      </c>
      <c r="C396" s="11">
        <v>33</v>
      </c>
      <c r="D396" s="10" t="s">
        <v>31</v>
      </c>
      <c r="E396" s="10" t="s">
        <v>32</v>
      </c>
      <c r="F396" s="10">
        <v>39</v>
      </c>
      <c r="G396" s="10">
        <v>19</v>
      </c>
      <c r="H396" s="10">
        <v>9</v>
      </c>
      <c r="I396" s="10" t="s">
        <v>126</v>
      </c>
      <c r="J396" s="10" t="s">
        <v>14</v>
      </c>
      <c r="K396" s="10" t="s">
        <v>15</v>
      </c>
      <c r="L396" s="10"/>
      <c r="M396" s="10" t="str">
        <f>HYPERLINK("http://www.stromypodkontrolou.cz/map/tree/eb9fcfc1-f6fa-405f-85c7-690b2fb79ecd/3706a956-4352-4167-a32c-15bc1b12c083")</f>
        <v>http://www.stromypodkontrolou.cz/map/tree/eb9fcfc1-f6fa-405f-85c7-690b2fb79ecd/3706a956-4352-4167-a32c-15bc1b12c083</v>
      </c>
      <c r="N396" s="53"/>
    </row>
    <row r="397" spans="1:207" s="15" customFormat="1" ht="45">
      <c r="A397" s="12">
        <v>392</v>
      </c>
      <c r="B397" s="16" t="s">
        <v>217</v>
      </c>
      <c r="C397" s="14">
        <v>103</v>
      </c>
      <c r="D397" s="16" t="s">
        <v>39</v>
      </c>
      <c r="E397" s="16" t="s">
        <v>40</v>
      </c>
      <c r="F397" s="16">
        <v>51</v>
      </c>
      <c r="G397" s="16">
        <v>23</v>
      </c>
      <c r="H397" s="16">
        <v>8</v>
      </c>
      <c r="I397" s="16"/>
      <c r="J397" s="16" t="s">
        <v>14</v>
      </c>
      <c r="K397" s="16" t="s">
        <v>15</v>
      </c>
      <c r="L397" s="16"/>
      <c r="M397" s="23" t="s">
        <v>291</v>
      </c>
      <c r="N397" s="5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</row>
    <row r="398" spans="1:14" s="3" customFormat="1" ht="12.75">
      <c r="A398" s="9">
        <v>393</v>
      </c>
      <c r="B398" s="38" t="s">
        <v>217</v>
      </c>
      <c r="C398" s="41">
        <v>121</v>
      </c>
      <c r="D398" s="38" t="s">
        <v>64</v>
      </c>
      <c r="E398" s="38" t="s">
        <v>65</v>
      </c>
      <c r="F398" s="38">
        <v>33</v>
      </c>
      <c r="G398" s="38">
        <v>15</v>
      </c>
      <c r="H398" s="38">
        <v>9</v>
      </c>
      <c r="I398" s="38" t="s">
        <v>218</v>
      </c>
      <c r="J398" s="10" t="s">
        <v>14</v>
      </c>
      <c r="K398" s="10" t="s">
        <v>15</v>
      </c>
      <c r="L398" s="42"/>
      <c r="M398" s="38" t="str">
        <f>HYPERLINK("http://www.stromypodkontrolou.cz/map/tree/eb9fcfc1-f6fa-405f-85c7-690b2fb79ecd/7c75bc0f-0df7-4bda-8887-4efe84e3c103")</f>
        <v>http://www.stromypodkontrolou.cz/map/tree/eb9fcfc1-f6fa-405f-85c7-690b2fb79ecd/7c75bc0f-0df7-4bda-8887-4efe84e3c103</v>
      </c>
      <c r="N398" s="53"/>
    </row>
    <row r="399" spans="1:14" s="3" customFormat="1" ht="22.5">
      <c r="A399" s="9">
        <v>394</v>
      </c>
      <c r="B399" s="38" t="s">
        <v>217</v>
      </c>
      <c r="C399" s="41">
        <v>121</v>
      </c>
      <c r="D399" s="38" t="s">
        <v>64</v>
      </c>
      <c r="E399" s="38" t="s">
        <v>65</v>
      </c>
      <c r="F399" s="38">
        <v>33</v>
      </c>
      <c r="G399" s="38">
        <v>15</v>
      </c>
      <c r="H399" s="38">
        <v>9</v>
      </c>
      <c r="I399" s="38" t="s">
        <v>218</v>
      </c>
      <c r="J399" s="10" t="s">
        <v>19</v>
      </c>
      <c r="K399" s="10" t="s">
        <v>20</v>
      </c>
      <c r="L399" s="42"/>
      <c r="M399" s="38" t="str">
        <f>HYPERLINK("http://www.stromypodkontrolou.cz/map/tree/eb9fcfc1-f6fa-405f-85c7-690b2fb79ecd/7c75bc0f-0df7-4bda-8887-4efe84e3c103")</f>
        <v>http://www.stromypodkontrolou.cz/map/tree/eb9fcfc1-f6fa-405f-85c7-690b2fb79ecd/7c75bc0f-0df7-4bda-8887-4efe84e3c103</v>
      </c>
      <c r="N399" s="53"/>
    </row>
    <row r="400" spans="1:207" s="15" customFormat="1" ht="45">
      <c r="A400" s="12">
        <v>395</v>
      </c>
      <c r="B400" s="16" t="s">
        <v>221</v>
      </c>
      <c r="C400" s="14">
        <v>92</v>
      </c>
      <c r="D400" s="16" t="s">
        <v>9</v>
      </c>
      <c r="E400" s="16" t="s">
        <v>10</v>
      </c>
      <c r="F400" s="16">
        <v>34</v>
      </c>
      <c r="G400" s="16">
        <v>16</v>
      </c>
      <c r="H400" s="16">
        <v>15</v>
      </c>
      <c r="I400" s="16" t="s">
        <v>23</v>
      </c>
      <c r="J400" s="16" t="s">
        <v>14</v>
      </c>
      <c r="K400" s="16" t="s">
        <v>15</v>
      </c>
      <c r="L400" s="16"/>
      <c r="M400" s="16" t="str">
        <f>HYPERLINK("http://www.stromypodkontrolou.cz/map/tree/eb9fcfc1-f6fa-405f-85c7-690b2fb79ecd/cfe04c82-1aa1-4d27-8140-a7f3ecd5f710")</f>
        <v>http://www.stromypodkontrolou.cz/map/tree/eb9fcfc1-f6fa-405f-85c7-690b2fb79ecd/cfe04c82-1aa1-4d27-8140-a7f3ecd5f710</v>
      </c>
      <c r="N400" s="5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</row>
    <row r="401" spans="1:14" s="3" customFormat="1" ht="12.75">
      <c r="A401" s="9">
        <v>396</v>
      </c>
      <c r="B401" s="38" t="s">
        <v>221</v>
      </c>
      <c r="C401" s="41">
        <v>95</v>
      </c>
      <c r="D401" s="38" t="s">
        <v>9</v>
      </c>
      <c r="E401" s="38" t="s">
        <v>10</v>
      </c>
      <c r="F401" s="38">
        <v>33</v>
      </c>
      <c r="G401" s="38">
        <v>14</v>
      </c>
      <c r="H401" s="38">
        <v>9</v>
      </c>
      <c r="I401" s="38" t="s">
        <v>23</v>
      </c>
      <c r="J401" s="10" t="s">
        <v>14</v>
      </c>
      <c r="K401" s="10" t="s">
        <v>15</v>
      </c>
      <c r="L401" s="42"/>
      <c r="M401" s="38" t="str">
        <f>HYPERLINK("http://www.stromypodkontrolou.cz/map/tree/eb9fcfc1-f6fa-405f-85c7-690b2fb79ecd/2edb8b6b-2289-4646-b8cc-f81eeaa8c49c")</f>
        <v>http://www.stromypodkontrolou.cz/map/tree/eb9fcfc1-f6fa-405f-85c7-690b2fb79ecd/2edb8b6b-2289-4646-b8cc-f81eeaa8c49c</v>
      </c>
      <c r="N401" s="53"/>
    </row>
    <row r="402" spans="1:14" s="3" customFormat="1" ht="22.5">
      <c r="A402" s="9">
        <v>397</v>
      </c>
      <c r="B402" s="38" t="s">
        <v>221</v>
      </c>
      <c r="C402" s="41">
        <v>95</v>
      </c>
      <c r="D402" s="38" t="s">
        <v>9</v>
      </c>
      <c r="E402" s="38" t="s">
        <v>10</v>
      </c>
      <c r="F402" s="38">
        <v>33</v>
      </c>
      <c r="G402" s="38">
        <v>14</v>
      </c>
      <c r="H402" s="38">
        <v>9</v>
      </c>
      <c r="I402" s="38" t="s">
        <v>23</v>
      </c>
      <c r="J402" s="10" t="s">
        <v>12</v>
      </c>
      <c r="K402" s="10" t="s">
        <v>13</v>
      </c>
      <c r="L402" s="42"/>
      <c r="M402" s="38" t="str">
        <f>HYPERLINK("http://www.stromypodkontrolou.cz/map/tree/eb9fcfc1-f6fa-405f-85c7-690b2fb79ecd/2edb8b6b-2289-4646-b8cc-f81eeaa8c49c")</f>
        <v>http://www.stromypodkontrolou.cz/map/tree/eb9fcfc1-f6fa-405f-85c7-690b2fb79ecd/2edb8b6b-2289-4646-b8cc-f81eeaa8c49c</v>
      </c>
      <c r="N402" s="53"/>
    </row>
    <row r="403" spans="1:207" s="15" customFormat="1" ht="22.5">
      <c r="A403" s="12">
        <v>398</v>
      </c>
      <c r="B403" s="46" t="s">
        <v>221</v>
      </c>
      <c r="C403" s="47">
        <v>96</v>
      </c>
      <c r="D403" s="46" t="s">
        <v>9</v>
      </c>
      <c r="E403" s="46" t="s">
        <v>10</v>
      </c>
      <c r="F403" s="46">
        <v>30</v>
      </c>
      <c r="G403" s="46">
        <v>16</v>
      </c>
      <c r="H403" s="46">
        <v>9</v>
      </c>
      <c r="I403" s="46" t="s">
        <v>23</v>
      </c>
      <c r="J403" s="16" t="s">
        <v>12</v>
      </c>
      <c r="K403" s="16" t="s">
        <v>13</v>
      </c>
      <c r="L403" s="43"/>
      <c r="M403" s="46" t="str">
        <f>HYPERLINK("http://www.stromypodkontrolou.cz/map/tree/eb9fcfc1-f6fa-405f-85c7-690b2fb79ecd/c2d36ae5-0629-4173-acd9-1b401862a63b")</f>
        <v>http://www.stromypodkontrolou.cz/map/tree/eb9fcfc1-f6fa-405f-85c7-690b2fb79ecd/c2d36ae5-0629-4173-acd9-1b401862a63b</v>
      </c>
      <c r="N403" s="5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</row>
    <row r="404" spans="1:207" s="15" customFormat="1" ht="12.75">
      <c r="A404" s="12">
        <v>399</v>
      </c>
      <c r="B404" s="46" t="s">
        <v>221</v>
      </c>
      <c r="C404" s="47">
        <v>96</v>
      </c>
      <c r="D404" s="46" t="s">
        <v>9</v>
      </c>
      <c r="E404" s="46" t="s">
        <v>10</v>
      </c>
      <c r="F404" s="46">
        <v>30</v>
      </c>
      <c r="G404" s="46">
        <v>16</v>
      </c>
      <c r="H404" s="46">
        <v>9</v>
      </c>
      <c r="I404" s="46" t="s">
        <v>23</v>
      </c>
      <c r="J404" s="16" t="s">
        <v>14</v>
      </c>
      <c r="K404" s="16" t="s">
        <v>15</v>
      </c>
      <c r="L404" s="43"/>
      <c r="M404" s="46" t="str">
        <f>HYPERLINK("http://www.stromypodkontrolou.cz/map/tree/eb9fcfc1-f6fa-405f-85c7-690b2fb79ecd/c2d36ae5-0629-4173-acd9-1b401862a63b")</f>
        <v>http://www.stromypodkontrolou.cz/map/tree/eb9fcfc1-f6fa-405f-85c7-690b2fb79ecd/c2d36ae5-0629-4173-acd9-1b401862a63b</v>
      </c>
      <c r="N404" s="5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</row>
    <row r="405" spans="1:14" s="3" customFormat="1" ht="45">
      <c r="A405" s="9">
        <v>400</v>
      </c>
      <c r="B405" s="10" t="s">
        <v>221</v>
      </c>
      <c r="C405" s="11">
        <v>98</v>
      </c>
      <c r="D405" s="10" t="s">
        <v>9</v>
      </c>
      <c r="E405" s="10" t="s">
        <v>10</v>
      </c>
      <c r="F405" s="10">
        <v>31</v>
      </c>
      <c r="G405" s="10">
        <v>16</v>
      </c>
      <c r="H405" s="10">
        <v>11</v>
      </c>
      <c r="I405" s="10"/>
      <c r="J405" s="10" t="s">
        <v>14</v>
      </c>
      <c r="K405" s="10" t="s">
        <v>15</v>
      </c>
      <c r="L405" s="10"/>
      <c r="M405" s="10" t="str">
        <f>HYPERLINK("http://www.stromypodkontrolou.cz/map/tree/eb9fcfc1-f6fa-405f-85c7-690b2fb79ecd/0b18159b-51e3-4f80-915f-9f8cc68a4e51")</f>
        <v>http://www.stromypodkontrolou.cz/map/tree/eb9fcfc1-f6fa-405f-85c7-690b2fb79ecd/0b18159b-51e3-4f80-915f-9f8cc68a4e51</v>
      </c>
      <c r="N405" s="53"/>
    </row>
    <row r="406" spans="1:207" s="15" customFormat="1" ht="45">
      <c r="A406" s="12">
        <v>401</v>
      </c>
      <c r="B406" s="16" t="s">
        <v>221</v>
      </c>
      <c r="C406" s="14">
        <v>100</v>
      </c>
      <c r="D406" s="16" t="s">
        <v>222</v>
      </c>
      <c r="E406" s="16" t="s">
        <v>223</v>
      </c>
      <c r="F406" s="16">
        <v>50</v>
      </c>
      <c r="G406" s="16">
        <v>19</v>
      </c>
      <c r="H406" s="16">
        <v>17</v>
      </c>
      <c r="I406" s="16" t="s">
        <v>224</v>
      </c>
      <c r="J406" s="16" t="s">
        <v>14</v>
      </c>
      <c r="K406" s="16" t="s">
        <v>15</v>
      </c>
      <c r="L406" s="16"/>
      <c r="M406" s="16" t="str">
        <f>HYPERLINK("http://www.stromypodkontrolou.cz/map/tree/eb9fcfc1-f6fa-405f-85c7-690b2fb79ecd/78a3fa6a-606c-49ed-bf21-c0d3c2d16d06")</f>
        <v>http://www.stromypodkontrolou.cz/map/tree/eb9fcfc1-f6fa-405f-85c7-690b2fb79ecd/78a3fa6a-606c-49ed-bf21-c0d3c2d16d06</v>
      </c>
      <c r="N406" s="5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</row>
    <row r="407" spans="1:14" s="3" customFormat="1" ht="45">
      <c r="A407" s="9">
        <v>402</v>
      </c>
      <c r="B407" s="10" t="s">
        <v>225</v>
      </c>
      <c r="C407" s="11">
        <v>33</v>
      </c>
      <c r="D407" s="10" t="s">
        <v>31</v>
      </c>
      <c r="E407" s="10" t="s">
        <v>32</v>
      </c>
      <c r="F407" s="10">
        <v>18</v>
      </c>
      <c r="G407" s="10">
        <v>13</v>
      </c>
      <c r="H407" s="10">
        <v>2</v>
      </c>
      <c r="I407" s="10" t="s">
        <v>18</v>
      </c>
      <c r="J407" s="10" t="s">
        <v>14</v>
      </c>
      <c r="K407" s="10" t="s">
        <v>15</v>
      </c>
      <c r="L407" s="10" t="s">
        <v>17</v>
      </c>
      <c r="M407" s="10" t="str">
        <f>HYPERLINK("http://www.stromypodkontrolou.cz/map/tree/eb9fcfc1-f6fa-405f-85c7-690b2fb79ecd/ed6b1d29-92bf-4ceb-bedb-2e13be9e2282")</f>
        <v>http://www.stromypodkontrolou.cz/map/tree/eb9fcfc1-f6fa-405f-85c7-690b2fb79ecd/ed6b1d29-92bf-4ceb-bedb-2e13be9e2282</v>
      </c>
      <c r="N407" s="53"/>
    </row>
    <row r="408" spans="1:207" s="15" customFormat="1" ht="22.5">
      <c r="A408" s="12">
        <v>403</v>
      </c>
      <c r="B408" s="46" t="s">
        <v>225</v>
      </c>
      <c r="C408" s="47">
        <v>75</v>
      </c>
      <c r="D408" s="46" t="s">
        <v>9</v>
      </c>
      <c r="E408" s="46" t="s">
        <v>10</v>
      </c>
      <c r="F408" s="46">
        <v>30</v>
      </c>
      <c r="G408" s="46">
        <v>19</v>
      </c>
      <c r="H408" s="46">
        <v>6</v>
      </c>
      <c r="I408" s="46"/>
      <c r="J408" s="16" t="s">
        <v>12</v>
      </c>
      <c r="K408" s="16" t="s">
        <v>13</v>
      </c>
      <c r="L408" s="43"/>
      <c r="M408" s="46" t="s">
        <v>315</v>
      </c>
      <c r="N408" s="5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</row>
    <row r="409" spans="1:207" s="15" customFormat="1" ht="12.75">
      <c r="A409" s="12">
        <v>404</v>
      </c>
      <c r="B409" s="46" t="s">
        <v>225</v>
      </c>
      <c r="C409" s="47">
        <v>75</v>
      </c>
      <c r="D409" s="46" t="s">
        <v>9</v>
      </c>
      <c r="E409" s="46" t="s">
        <v>10</v>
      </c>
      <c r="F409" s="46">
        <v>30</v>
      </c>
      <c r="G409" s="46">
        <v>19</v>
      </c>
      <c r="H409" s="46">
        <v>6</v>
      </c>
      <c r="I409" s="46"/>
      <c r="J409" s="16" t="s">
        <v>14</v>
      </c>
      <c r="K409" s="16" t="s">
        <v>15</v>
      </c>
      <c r="L409" s="43"/>
      <c r="M409" s="46" t="s">
        <v>315</v>
      </c>
      <c r="N409" s="5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</row>
    <row r="410" spans="1:14" s="3" customFormat="1" ht="25.5" customHeight="1">
      <c r="A410" s="9">
        <v>405</v>
      </c>
      <c r="B410" s="38" t="s">
        <v>225</v>
      </c>
      <c r="C410" s="41">
        <v>76</v>
      </c>
      <c r="D410" s="38" t="s">
        <v>9</v>
      </c>
      <c r="E410" s="38" t="s">
        <v>10</v>
      </c>
      <c r="F410" s="38">
        <v>28</v>
      </c>
      <c r="G410" s="38">
        <v>19</v>
      </c>
      <c r="H410" s="38">
        <v>6</v>
      </c>
      <c r="I410" s="38" t="s">
        <v>23</v>
      </c>
      <c r="J410" s="10" t="s">
        <v>12</v>
      </c>
      <c r="K410" s="10" t="s">
        <v>13</v>
      </c>
      <c r="L410" s="10" t="s">
        <v>17</v>
      </c>
      <c r="M410" s="38" t="str">
        <f>HYPERLINK("http://www.stromypodkontrolou.cz/map/tree/eb9fcfc1-f6fa-405f-85c7-690b2fb79ecd/b0440156-7986-4953-bb56-f2423393c447")</f>
        <v>http://www.stromypodkontrolou.cz/map/tree/eb9fcfc1-f6fa-405f-85c7-690b2fb79ecd/b0440156-7986-4953-bb56-f2423393c447</v>
      </c>
      <c r="N410" s="53"/>
    </row>
    <row r="411" spans="1:14" s="3" customFormat="1" ht="12.75">
      <c r="A411" s="9">
        <v>406</v>
      </c>
      <c r="B411" s="38" t="s">
        <v>225</v>
      </c>
      <c r="C411" s="41">
        <v>76</v>
      </c>
      <c r="D411" s="38" t="s">
        <v>9</v>
      </c>
      <c r="E411" s="38" t="s">
        <v>10</v>
      </c>
      <c r="F411" s="38">
        <v>28</v>
      </c>
      <c r="G411" s="38">
        <v>19</v>
      </c>
      <c r="H411" s="38">
        <v>6</v>
      </c>
      <c r="I411" s="38" t="s">
        <v>23</v>
      </c>
      <c r="J411" s="10" t="s">
        <v>14</v>
      </c>
      <c r="K411" s="10" t="s">
        <v>15</v>
      </c>
      <c r="L411" s="10"/>
      <c r="M411" s="38" t="str">
        <f>HYPERLINK("http://www.stromypodkontrolou.cz/map/tree/eb9fcfc1-f6fa-405f-85c7-690b2fb79ecd/b0440156-7986-4953-bb56-f2423393c447")</f>
        <v>http://www.stromypodkontrolou.cz/map/tree/eb9fcfc1-f6fa-405f-85c7-690b2fb79ecd/b0440156-7986-4953-bb56-f2423393c447</v>
      </c>
      <c r="N411" s="53"/>
    </row>
    <row r="412" spans="1:207" s="15" customFormat="1" ht="22.5">
      <c r="A412" s="12">
        <v>407</v>
      </c>
      <c r="B412" s="46" t="s">
        <v>225</v>
      </c>
      <c r="C412" s="47">
        <v>77</v>
      </c>
      <c r="D412" s="46" t="s">
        <v>9</v>
      </c>
      <c r="E412" s="46" t="s">
        <v>10</v>
      </c>
      <c r="F412" s="46">
        <v>26</v>
      </c>
      <c r="G412" s="46">
        <v>18</v>
      </c>
      <c r="H412" s="46">
        <v>4</v>
      </c>
      <c r="I412" s="46"/>
      <c r="J412" s="16" t="s">
        <v>19</v>
      </c>
      <c r="K412" s="16" t="s">
        <v>20</v>
      </c>
      <c r="L412" s="43"/>
      <c r="M412" s="46" t="str">
        <f>HYPERLINK("http://www.stromypodkontrolou.cz/map/tree/eb9fcfc1-f6fa-405f-85c7-690b2fb79ecd/fbb86256-c36e-4090-aa39-3cf4f14f9b56")</f>
        <v>http://www.stromypodkontrolou.cz/map/tree/eb9fcfc1-f6fa-405f-85c7-690b2fb79ecd/fbb86256-c36e-4090-aa39-3cf4f14f9b56</v>
      </c>
      <c r="N412" s="5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</row>
    <row r="413" spans="1:207" s="15" customFormat="1" ht="22.5">
      <c r="A413" s="12">
        <v>408</v>
      </c>
      <c r="B413" s="46"/>
      <c r="C413" s="47"/>
      <c r="D413" s="46"/>
      <c r="E413" s="46"/>
      <c r="F413" s="46"/>
      <c r="G413" s="46"/>
      <c r="H413" s="46"/>
      <c r="I413" s="46"/>
      <c r="J413" s="16" t="s">
        <v>12</v>
      </c>
      <c r="K413" s="16" t="s">
        <v>13</v>
      </c>
      <c r="L413" s="43"/>
      <c r="M413" s="46"/>
      <c r="N413" s="5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</row>
    <row r="414" spans="1:207" s="15" customFormat="1" ht="12.75">
      <c r="A414" s="12">
        <v>409</v>
      </c>
      <c r="B414" s="46" t="s">
        <v>225</v>
      </c>
      <c r="C414" s="47">
        <v>77</v>
      </c>
      <c r="D414" s="46" t="s">
        <v>9</v>
      </c>
      <c r="E414" s="46" t="s">
        <v>10</v>
      </c>
      <c r="F414" s="46">
        <v>26</v>
      </c>
      <c r="G414" s="46">
        <v>18</v>
      </c>
      <c r="H414" s="46">
        <v>4</v>
      </c>
      <c r="I414" s="46"/>
      <c r="J414" s="16" t="s">
        <v>14</v>
      </c>
      <c r="K414" s="16" t="s">
        <v>15</v>
      </c>
      <c r="L414" s="43"/>
      <c r="M414" s="46" t="str">
        <f>HYPERLINK("http://www.stromypodkontrolou.cz/map/tree/eb9fcfc1-f6fa-405f-85c7-690b2fb79ecd/fbb86256-c36e-4090-aa39-3cf4f14f9b56")</f>
        <v>http://www.stromypodkontrolou.cz/map/tree/eb9fcfc1-f6fa-405f-85c7-690b2fb79ecd/fbb86256-c36e-4090-aa39-3cf4f14f9b56</v>
      </c>
      <c r="N414" s="5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</row>
    <row r="415" spans="1:14" s="3" customFormat="1" ht="25.5" customHeight="1">
      <c r="A415" s="9">
        <v>410</v>
      </c>
      <c r="B415" s="38" t="s">
        <v>225</v>
      </c>
      <c r="C415" s="41">
        <v>79</v>
      </c>
      <c r="D415" s="38" t="s">
        <v>9</v>
      </c>
      <c r="E415" s="38" t="s">
        <v>10</v>
      </c>
      <c r="F415" s="38">
        <v>26</v>
      </c>
      <c r="G415" s="38">
        <v>16</v>
      </c>
      <c r="H415" s="38">
        <v>4</v>
      </c>
      <c r="I415" s="38" t="s">
        <v>23</v>
      </c>
      <c r="J415" s="10" t="s">
        <v>12</v>
      </c>
      <c r="K415" s="10" t="s">
        <v>13</v>
      </c>
      <c r="L415" s="10" t="s">
        <v>17</v>
      </c>
      <c r="M415" s="38" t="str">
        <f>HYPERLINK("http://www.stromypodkontrolou.cz/map/tree/eb9fcfc1-f6fa-405f-85c7-690b2fb79ecd/92ff0dbe-fb46-4ec5-b983-bce681cea929")</f>
        <v>http://www.stromypodkontrolou.cz/map/tree/eb9fcfc1-f6fa-405f-85c7-690b2fb79ecd/92ff0dbe-fb46-4ec5-b983-bce681cea929</v>
      </c>
      <c r="N415" s="53"/>
    </row>
    <row r="416" spans="1:14" s="3" customFormat="1" ht="12.75">
      <c r="A416" s="9">
        <v>411</v>
      </c>
      <c r="B416" s="38" t="s">
        <v>225</v>
      </c>
      <c r="C416" s="41">
        <v>79</v>
      </c>
      <c r="D416" s="38" t="s">
        <v>9</v>
      </c>
      <c r="E416" s="38" t="s">
        <v>10</v>
      </c>
      <c r="F416" s="38">
        <v>26</v>
      </c>
      <c r="G416" s="38">
        <v>16</v>
      </c>
      <c r="H416" s="38">
        <v>4</v>
      </c>
      <c r="I416" s="38" t="s">
        <v>23</v>
      </c>
      <c r="J416" s="10" t="s">
        <v>14</v>
      </c>
      <c r="K416" s="10" t="s">
        <v>15</v>
      </c>
      <c r="L416" s="10"/>
      <c r="M416" s="38" t="str">
        <f>HYPERLINK("http://www.stromypodkontrolou.cz/map/tree/eb9fcfc1-f6fa-405f-85c7-690b2fb79ecd/92ff0dbe-fb46-4ec5-b983-bce681cea929")</f>
        <v>http://www.stromypodkontrolou.cz/map/tree/eb9fcfc1-f6fa-405f-85c7-690b2fb79ecd/92ff0dbe-fb46-4ec5-b983-bce681cea929</v>
      </c>
      <c r="N416" s="53"/>
    </row>
    <row r="417" spans="1:207" s="15" customFormat="1" ht="22.5">
      <c r="A417" s="12">
        <v>412</v>
      </c>
      <c r="B417" s="46" t="s">
        <v>225</v>
      </c>
      <c r="C417" s="47">
        <v>94</v>
      </c>
      <c r="D417" s="46" t="s">
        <v>9</v>
      </c>
      <c r="E417" s="46" t="s">
        <v>10</v>
      </c>
      <c r="F417" s="46">
        <v>29</v>
      </c>
      <c r="G417" s="46">
        <v>15</v>
      </c>
      <c r="H417" s="46">
        <v>5</v>
      </c>
      <c r="I417" s="46" t="s">
        <v>23</v>
      </c>
      <c r="J417" s="16" t="s">
        <v>19</v>
      </c>
      <c r="K417" s="16" t="s">
        <v>20</v>
      </c>
      <c r="L417" s="43"/>
      <c r="M417" s="46" t="str">
        <f>HYPERLINK("http://www.stromypodkontrolou.cz/map/tree/eb9fcfc1-f6fa-405f-85c7-690b2fb79ecd/dd83f99f-a2cb-4747-8a9b-7aa188858b54")</f>
        <v>http://www.stromypodkontrolou.cz/map/tree/eb9fcfc1-f6fa-405f-85c7-690b2fb79ecd/dd83f99f-a2cb-4747-8a9b-7aa188858b54</v>
      </c>
      <c r="N417" s="5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</row>
    <row r="418" spans="1:207" s="15" customFormat="1" ht="12.75">
      <c r="A418" s="12">
        <v>413</v>
      </c>
      <c r="B418" s="46" t="s">
        <v>225</v>
      </c>
      <c r="C418" s="47">
        <v>94</v>
      </c>
      <c r="D418" s="46" t="s">
        <v>9</v>
      </c>
      <c r="E418" s="46" t="s">
        <v>10</v>
      </c>
      <c r="F418" s="46">
        <v>29</v>
      </c>
      <c r="G418" s="46">
        <v>15</v>
      </c>
      <c r="H418" s="46">
        <v>5</v>
      </c>
      <c r="I418" s="46" t="s">
        <v>23</v>
      </c>
      <c r="J418" s="16" t="s">
        <v>14</v>
      </c>
      <c r="K418" s="16" t="s">
        <v>15</v>
      </c>
      <c r="L418" s="43"/>
      <c r="M418" s="46" t="str">
        <f>HYPERLINK("http://www.stromypodkontrolou.cz/map/tree/eb9fcfc1-f6fa-405f-85c7-690b2fb79ecd/dd83f99f-a2cb-4747-8a9b-7aa188858b54")</f>
        <v>http://www.stromypodkontrolou.cz/map/tree/eb9fcfc1-f6fa-405f-85c7-690b2fb79ecd/dd83f99f-a2cb-4747-8a9b-7aa188858b54</v>
      </c>
      <c r="N418" s="5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</row>
    <row r="419" spans="1:207" s="15" customFormat="1" ht="33.75">
      <c r="A419" s="12">
        <v>414</v>
      </c>
      <c r="B419" s="46" t="s">
        <v>225</v>
      </c>
      <c r="C419" s="47">
        <v>94</v>
      </c>
      <c r="D419" s="46" t="s">
        <v>9</v>
      </c>
      <c r="E419" s="46" t="s">
        <v>10</v>
      </c>
      <c r="F419" s="46">
        <v>29</v>
      </c>
      <c r="G419" s="46">
        <v>15</v>
      </c>
      <c r="H419" s="46">
        <v>5</v>
      </c>
      <c r="I419" s="46" t="s">
        <v>23</v>
      </c>
      <c r="J419" s="16" t="s">
        <v>12</v>
      </c>
      <c r="K419" s="16" t="s">
        <v>13</v>
      </c>
      <c r="L419" s="16" t="s">
        <v>17</v>
      </c>
      <c r="M419" s="46" t="str">
        <f>HYPERLINK("http://www.stromypodkontrolou.cz/map/tree/eb9fcfc1-f6fa-405f-85c7-690b2fb79ecd/dd83f99f-a2cb-4747-8a9b-7aa188858b54")</f>
        <v>http://www.stromypodkontrolou.cz/map/tree/eb9fcfc1-f6fa-405f-85c7-690b2fb79ecd/dd83f99f-a2cb-4747-8a9b-7aa188858b54</v>
      </c>
      <c r="N419" s="5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</row>
    <row r="420" spans="1:14" s="3" customFormat="1" ht="12.75">
      <c r="A420" s="9">
        <v>415</v>
      </c>
      <c r="B420" s="38" t="s">
        <v>225</v>
      </c>
      <c r="C420" s="41">
        <v>128</v>
      </c>
      <c r="D420" s="38" t="s">
        <v>92</v>
      </c>
      <c r="E420" s="38" t="s">
        <v>93</v>
      </c>
      <c r="F420" s="38">
        <v>47</v>
      </c>
      <c r="G420" s="38">
        <v>22</v>
      </c>
      <c r="H420" s="38">
        <v>4</v>
      </c>
      <c r="I420" s="38" t="s">
        <v>63</v>
      </c>
      <c r="J420" s="10" t="s">
        <v>14</v>
      </c>
      <c r="K420" s="10" t="s">
        <v>15</v>
      </c>
      <c r="L420" s="10"/>
      <c r="M420" s="38" t="str">
        <f>HYPERLINK("http://www.stromypodkontrolou.cz/map/tree/eb9fcfc1-f6fa-405f-85c7-690b2fb79ecd/80af7f1e-deb3-490f-81f7-c929f7d5b9d1")</f>
        <v>http://www.stromypodkontrolou.cz/map/tree/eb9fcfc1-f6fa-405f-85c7-690b2fb79ecd/80af7f1e-deb3-490f-81f7-c929f7d5b9d1</v>
      </c>
      <c r="N420" s="53"/>
    </row>
    <row r="421" spans="1:14" s="3" customFormat="1" ht="25.5" customHeight="1">
      <c r="A421" s="9">
        <v>416</v>
      </c>
      <c r="B421" s="38" t="s">
        <v>225</v>
      </c>
      <c r="C421" s="41">
        <v>128</v>
      </c>
      <c r="D421" s="38" t="s">
        <v>92</v>
      </c>
      <c r="E421" s="38" t="s">
        <v>93</v>
      </c>
      <c r="F421" s="38">
        <v>47</v>
      </c>
      <c r="G421" s="38">
        <v>22</v>
      </c>
      <c r="H421" s="38">
        <v>4</v>
      </c>
      <c r="I421" s="38" t="s">
        <v>63</v>
      </c>
      <c r="J421" s="10" t="s">
        <v>12</v>
      </c>
      <c r="K421" s="10" t="s">
        <v>13</v>
      </c>
      <c r="L421" s="10" t="s">
        <v>17</v>
      </c>
      <c r="M421" s="38" t="str">
        <f>HYPERLINK("http://www.stromypodkontrolou.cz/map/tree/eb9fcfc1-f6fa-405f-85c7-690b2fb79ecd/80af7f1e-deb3-490f-81f7-c929f7d5b9d1")</f>
        <v>http://www.stromypodkontrolou.cz/map/tree/eb9fcfc1-f6fa-405f-85c7-690b2fb79ecd/80af7f1e-deb3-490f-81f7-c929f7d5b9d1</v>
      </c>
      <c r="N421" s="53"/>
    </row>
    <row r="422" spans="1:207" s="15" customFormat="1" ht="45">
      <c r="A422" s="12">
        <v>417</v>
      </c>
      <c r="B422" s="16" t="s">
        <v>225</v>
      </c>
      <c r="C422" s="14">
        <v>129</v>
      </c>
      <c r="D422" s="16" t="s">
        <v>92</v>
      </c>
      <c r="E422" s="16" t="s">
        <v>93</v>
      </c>
      <c r="F422" s="16">
        <v>43</v>
      </c>
      <c r="G422" s="16">
        <v>23</v>
      </c>
      <c r="H422" s="16">
        <v>5</v>
      </c>
      <c r="I422" s="16" t="s">
        <v>226</v>
      </c>
      <c r="J422" s="16" t="s">
        <v>12</v>
      </c>
      <c r="K422" s="16" t="s">
        <v>13</v>
      </c>
      <c r="L422" s="16" t="s">
        <v>22</v>
      </c>
      <c r="M422" s="16" t="str">
        <f>HYPERLINK("http://www.stromypodkontrolou.cz/map/tree/eb9fcfc1-f6fa-405f-85c7-690b2fb79ecd/0256d768-3539-4345-9f64-78c51125c9f7")</f>
        <v>http://www.stromypodkontrolou.cz/map/tree/eb9fcfc1-f6fa-405f-85c7-690b2fb79ecd/0256d768-3539-4345-9f64-78c51125c9f7</v>
      </c>
      <c r="N422" s="5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</row>
    <row r="423" spans="1:14" s="3" customFormat="1" ht="45">
      <c r="A423" s="9">
        <v>418</v>
      </c>
      <c r="B423" s="10" t="s">
        <v>227</v>
      </c>
      <c r="C423" s="11">
        <v>8</v>
      </c>
      <c r="D423" s="10" t="s">
        <v>27</v>
      </c>
      <c r="E423" s="10" t="s">
        <v>28</v>
      </c>
      <c r="F423" s="10">
        <v>31</v>
      </c>
      <c r="G423" s="10">
        <v>20</v>
      </c>
      <c r="H423" s="10">
        <v>3</v>
      </c>
      <c r="I423" s="10"/>
      <c r="J423" s="10" t="s">
        <v>19</v>
      </c>
      <c r="K423" s="10" t="s">
        <v>20</v>
      </c>
      <c r="L423" s="10"/>
      <c r="M423" s="10" t="str">
        <f>HYPERLINK("http://www.stromypodkontrolou.cz/map/tree/eb9fcfc1-f6fa-405f-85c7-690b2fb79ecd/f7a0b39d-82f8-46fb-851d-46e50dcbae4f")</f>
        <v>http://www.stromypodkontrolou.cz/map/tree/eb9fcfc1-f6fa-405f-85c7-690b2fb79ecd/f7a0b39d-82f8-46fb-851d-46e50dcbae4f</v>
      </c>
      <c r="N423" s="53"/>
    </row>
    <row r="424" spans="1:207" s="15" customFormat="1" ht="45">
      <c r="A424" s="12">
        <v>419</v>
      </c>
      <c r="B424" s="16" t="s">
        <v>227</v>
      </c>
      <c r="C424" s="14">
        <v>12</v>
      </c>
      <c r="D424" s="16" t="s">
        <v>27</v>
      </c>
      <c r="E424" s="16" t="s">
        <v>28</v>
      </c>
      <c r="F424" s="16">
        <v>47</v>
      </c>
      <c r="G424" s="16">
        <v>21</v>
      </c>
      <c r="H424" s="16">
        <v>6</v>
      </c>
      <c r="I424" s="16"/>
      <c r="J424" s="16" t="s">
        <v>19</v>
      </c>
      <c r="K424" s="16" t="s">
        <v>20</v>
      </c>
      <c r="L424" s="16"/>
      <c r="M424" s="16" t="s">
        <v>289</v>
      </c>
      <c r="N424" s="5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</row>
    <row r="425" spans="1:14" s="3" customFormat="1" ht="45">
      <c r="A425" s="9">
        <v>420</v>
      </c>
      <c r="B425" s="10" t="s">
        <v>228</v>
      </c>
      <c r="C425" s="11">
        <v>23</v>
      </c>
      <c r="D425" s="10" t="s">
        <v>31</v>
      </c>
      <c r="E425" s="10" t="s">
        <v>32</v>
      </c>
      <c r="F425" s="10">
        <v>48</v>
      </c>
      <c r="G425" s="10">
        <v>20</v>
      </c>
      <c r="H425" s="10">
        <v>11</v>
      </c>
      <c r="I425" s="10" t="s">
        <v>229</v>
      </c>
      <c r="J425" s="10" t="s">
        <v>12</v>
      </c>
      <c r="K425" s="10" t="s">
        <v>13</v>
      </c>
      <c r="L425" s="10" t="s">
        <v>22</v>
      </c>
      <c r="M425" s="10" t="str">
        <f>HYPERLINK("http://www.stromypodkontrolou.cz/map/tree/eb9fcfc1-f6fa-405f-85c7-690b2fb79ecd/5374da8b-4a51-497a-ad6d-ffd4afd100e2")</f>
        <v>http://www.stromypodkontrolou.cz/map/tree/eb9fcfc1-f6fa-405f-85c7-690b2fb79ecd/5374da8b-4a51-497a-ad6d-ffd4afd100e2</v>
      </c>
      <c r="N425" s="53"/>
    </row>
    <row r="426" spans="1:207" s="15" customFormat="1" ht="45">
      <c r="A426" s="12">
        <v>421</v>
      </c>
      <c r="B426" s="16" t="s">
        <v>276</v>
      </c>
      <c r="C426" s="14">
        <v>7</v>
      </c>
      <c r="D426" s="16" t="s">
        <v>277</v>
      </c>
      <c r="E426" s="16" t="s">
        <v>278</v>
      </c>
      <c r="F426" s="16">
        <v>20</v>
      </c>
      <c r="G426" s="16">
        <v>6</v>
      </c>
      <c r="H426" s="16">
        <v>4</v>
      </c>
      <c r="I426" s="16"/>
      <c r="J426" s="16" t="s">
        <v>76</v>
      </c>
      <c r="K426" s="16" t="s">
        <v>77</v>
      </c>
      <c r="L426" s="16"/>
      <c r="M426" s="24" t="s">
        <v>279</v>
      </c>
      <c r="N426" s="5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</row>
    <row r="427" spans="1:14" s="3" customFormat="1" ht="12.75">
      <c r="A427" s="9">
        <v>422</v>
      </c>
      <c r="B427" s="38" t="s">
        <v>230</v>
      </c>
      <c r="C427" s="41">
        <v>9</v>
      </c>
      <c r="D427" s="38" t="s">
        <v>64</v>
      </c>
      <c r="E427" s="38" t="s">
        <v>65</v>
      </c>
      <c r="F427" s="38">
        <v>78</v>
      </c>
      <c r="G427" s="38">
        <v>23</v>
      </c>
      <c r="H427" s="38">
        <v>10</v>
      </c>
      <c r="I427" s="38" t="s">
        <v>231</v>
      </c>
      <c r="J427" s="10" t="s">
        <v>97</v>
      </c>
      <c r="K427" s="10" t="s">
        <v>98</v>
      </c>
      <c r="L427" s="10"/>
      <c r="M427" s="38" t="str">
        <f>HYPERLINK("http://www.stromypodkontrolou.cz/map/tree/eb9fcfc1-f6fa-405f-85c7-690b2fb79ecd/2617a207-4303-4dbf-bafd-b83fd9048282")</f>
        <v>http://www.stromypodkontrolou.cz/map/tree/eb9fcfc1-f6fa-405f-85c7-690b2fb79ecd/2617a207-4303-4dbf-bafd-b83fd9048282</v>
      </c>
      <c r="N427" s="53"/>
    </row>
    <row r="428" spans="1:14" s="3" customFormat="1" ht="12.75">
      <c r="A428" s="9">
        <v>423</v>
      </c>
      <c r="B428" s="38" t="s">
        <v>230</v>
      </c>
      <c r="C428" s="41">
        <v>9</v>
      </c>
      <c r="D428" s="38" t="s">
        <v>64</v>
      </c>
      <c r="E428" s="38" t="s">
        <v>65</v>
      </c>
      <c r="F428" s="38">
        <v>78</v>
      </c>
      <c r="G428" s="38">
        <v>23</v>
      </c>
      <c r="H428" s="38">
        <v>10</v>
      </c>
      <c r="I428" s="38" t="s">
        <v>231</v>
      </c>
      <c r="J428" s="10" t="s">
        <v>115</v>
      </c>
      <c r="K428" s="10" t="s">
        <v>116</v>
      </c>
      <c r="L428" s="10" t="s">
        <v>178</v>
      </c>
      <c r="M428" s="38" t="str">
        <f>HYPERLINK("http://www.stromypodkontrolou.cz/map/tree/eb9fcfc1-f6fa-405f-85c7-690b2fb79ecd/2617a207-4303-4dbf-bafd-b83fd9048282")</f>
        <v>http://www.stromypodkontrolou.cz/map/tree/eb9fcfc1-f6fa-405f-85c7-690b2fb79ecd/2617a207-4303-4dbf-bafd-b83fd9048282</v>
      </c>
      <c r="N428" s="53"/>
    </row>
    <row r="429" spans="1:207" s="15" customFormat="1" ht="22.5">
      <c r="A429" s="12">
        <v>424</v>
      </c>
      <c r="B429" s="46" t="s">
        <v>230</v>
      </c>
      <c r="C429" s="47">
        <v>16</v>
      </c>
      <c r="D429" s="46" t="s">
        <v>9</v>
      </c>
      <c r="E429" s="46" t="s">
        <v>10</v>
      </c>
      <c r="F429" s="46">
        <v>33</v>
      </c>
      <c r="G429" s="46">
        <v>18</v>
      </c>
      <c r="H429" s="46">
        <v>4</v>
      </c>
      <c r="I429" s="46"/>
      <c r="J429" s="16" t="s">
        <v>12</v>
      </c>
      <c r="K429" s="16" t="s">
        <v>13</v>
      </c>
      <c r="L429" s="43"/>
      <c r="M429" s="48" t="s">
        <v>292</v>
      </c>
      <c r="N429" s="5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</row>
    <row r="430" spans="1:207" s="15" customFormat="1" ht="12.75">
      <c r="A430" s="12">
        <v>425</v>
      </c>
      <c r="B430" s="46" t="s">
        <v>230</v>
      </c>
      <c r="C430" s="47"/>
      <c r="D430" s="46" t="s">
        <v>9</v>
      </c>
      <c r="E430" s="46" t="s">
        <v>10</v>
      </c>
      <c r="F430" s="46"/>
      <c r="G430" s="46"/>
      <c r="H430" s="46"/>
      <c r="I430" s="46"/>
      <c r="J430" s="16" t="s">
        <v>14</v>
      </c>
      <c r="K430" s="16" t="s">
        <v>15</v>
      </c>
      <c r="L430" s="43"/>
      <c r="M430" s="46"/>
      <c r="N430" s="5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</row>
    <row r="431" spans="1:207" s="15" customFormat="1" ht="22.5">
      <c r="A431" s="12">
        <v>426</v>
      </c>
      <c r="B431" s="46"/>
      <c r="C431" s="47"/>
      <c r="D431" s="46"/>
      <c r="E431" s="46"/>
      <c r="F431" s="46"/>
      <c r="G431" s="46"/>
      <c r="H431" s="46"/>
      <c r="I431" s="46"/>
      <c r="J431" s="16" t="s">
        <v>19</v>
      </c>
      <c r="K431" s="16" t="s">
        <v>20</v>
      </c>
      <c r="L431" s="43"/>
      <c r="M431" s="46"/>
      <c r="N431" s="5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</row>
    <row r="432" spans="1:14" s="3" customFormat="1" ht="12.75">
      <c r="A432" s="9">
        <v>427</v>
      </c>
      <c r="B432" s="38" t="s">
        <v>230</v>
      </c>
      <c r="C432" s="41">
        <v>17</v>
      </c>
      <c r="D432" s="38" t="s">
        <v>9</v>
      </c>
      <c r="E432" s="38" t="s">
        <v>10</v>
      </c>
      <c r="F432" s="38">
        <v>33</v>
      </c>
      <c r="G432" s="38">
        <v>16</v>
      </c>
      <c r="H432" s="38">
        <v>2</v>
      </c>
      <c r="I432" s="38"/>
      <c r="J432" s="10" t="s">
        <v>14</v>
      </c>
      <c r="K432" s="10" t="s">
        <v>15</v>
      </c>
      <c r="L432" s="42"/>
      <c r="M432" s="38" t="s">
        <v>293</v>
      </c>
      <c r="N432" s="53"/>
    </row>
    <row r="433" spans="1:14" s="3" customFormat="1" ht="22.5">
      <c r="A433" s="9">
        <v>428</v>
      </c>
      <c r="B433" s="38" t="s">
        <v>230</v>
      </c>
      <c r="C433" s="41"/>
      <c r="D433" s="38" t="s">
        <v>9</v>
      </c>
      <c r="E433" s="38" t="s">
        <v>10</v>
      </c>
      <c r="F433" s="38"/>
      <c r="G433" s="38"/>
      <c r="H433" s="38"/>
      <c r="I433" s="38"/>
      <c r="J433" s="10" t="s">
        <v>19</v>
      </c>
      <c r="K433" s="10" t="s">
        <v>20</v>
      </c>
      <c r="L433" s="42"/>
      <c r="M433" s="38"/>
      <c r="N433" s="53"/>
    </row>
    <row r="434" spans="1:207" s="15" customFormat="1" ht="45">
      <c r="A434" s="12">
        <v>429</v>
      </c>
      <c r="B434" s="16" t="s">
        <v>230</v>
      </c>
      <c r="C434" s="14">
        <v>19</v>
      </c>
      <c r="D434" s="16" t="s">
        <v>9</v>
      </c>
      <c r="E434" s="16" t="s">
        <v>10</v>
      </c>
      <c r="F434" s="16">
        <v>29</v>
      </c>
      <c r="G434" s="16">
        <v>18</v>
      </c>
      <c r="H434" s="16">
        <v>3</v>
      </c>
      <c r="I434" s="16"/>
      <c r="J434" s="16" t="s">
        <v>14</v>
      </c>
      <c r="K434" s="16" t="s">
        <v>15</v>
      </c>
      <c r="L434" s="16"/>
      <c r="M434" s="16" t="s">
        <v>294</v>
      </c>
      <c r="N434" s="5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</row>
    <row r="435" spans="1:14" s="3" customFormat="1" ht="12.75">
      <c r="A435" s="9">
        <v>430</v>
      </c>
      <c r="B435" s="38" t="s">
        <v>230</v>
      </c>
      <c r="C435" s="41">
        <v>20</v>
      </c>
      <c r="D435" s="38" t="s">
        <v>9</v>
      </c>
      <c r="E435" s="38" t="s">
        <v>10</v>
      </c>
      <c r="F435" s="38">
        <v>40</v>
      </c>
      <c r="G435" s="38">
        <v>19</v>
      </c>
      <c r="H435" s="38">
        <v>3</v>
      </c>
      <c r="I435" s="38"/>
      <c r="J435" s="10" t="s">
        <v>14</v>
      </c>
      <c r="K435" s="10" t="s">
        <v>15</v>
      </c>
      <c r="L435" s="42"/>
      <c r="M435" s="38" t="s">
        <v>295</v>
      </c>
      <c r="N435" s="53"/>
    </row>
    <row r="436" spans="1:14" s="3" customFormat="1" ht="12.75">
      <c r="A436" s="9">
        <v>431</v>
      </c>
      <c r="B436" s="38" t="s">
        <v>230</v>
      </c>
      <c r="C436" s="41"/>
      <c r="D436" s="38" t="s">
        <v>9</v>
      </c>
      <c r="E436" s="38" t="s">
        <v>10</v>
      </c>
      <c r="F436" s="38"/>
      <c r="G436" s="38"/>
      <c r="H436" s="38"/>
      <c r="I436" s="38"/>
      <c r="J436" s="10" t="s">
        <v>115</v>
      </c>
      <c r="K436" s="10" t="s">
        <v>116</v>
      </c>
      <c r="L436" s="42"/>
      <c r="M436" s="38"/>
      <c r="N436" s="53"/>
    </row>
    <row r="437" spans="1:207" s="15" customFormat="1" ht="22.5">
      <c r="A437" s="12">
        <v>432</v>
      </c>
      <c r="B437" s="46" t="s">
        <v>232</v>
      </c>
      <c r="C437" s="47">
        <v>4</v>
      </c>
      <c r="D437" s="46" t="s">
        <v>9</v>
      </c>
      <c r="E437" s="46" t="s">
        <v>10</v>
      </c>
      <c r="F437" s="46">
        <v>39</v>
      </c>
      <c r="G437" s="46">
        <v>15</v>
      </c>
      <c r="H437" s="46">
        <v>14</v>
      </c>
      <c r="I437" s="46" t="s">
        <v>233</v>
      </c>
      <c r="J437" s="16" t="s">
        <v>12</v>
      </c>
      <c r="K437" s="16" t="s">
        <v>13</v>
      </c>
      <c r="L437" s="43"/>
      <c r="M437" s="46" t="str">
        <f>HYPERLINK("http://www.stromypodkontrolou.cz/map/tree/eb9fcfc1-f6fa-405f-85c7-690b2fb79ecd/a3b75ec7-6908-490d-b282-b1d29a9e2e2e")</f>
        <v>http://www.stromypodkontrolou.cz/map/tree/eb9fcfc1-f6fa-405f-85c7-690b2fb79ecd/a3b75ec7-6908-490d-b282-b1d29a9e2e2e</v>
      </c>
      <c r="N437" s="5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</row>
    <row r="438" spans="1:207" s="15" customFormat="1" ht="24.75" customHeight="1">
      <c r="A438" s="12">
        <v>433</v>
      </c>
      <c r="B438" s="46" t="s">
        <v>232</v>
      </c>
      <c r="C438" s="47">
        <v>4</v>
      </c>
      <c r="D438" s="46" t="s">
        <v>9</v>
      </c>
      <c r="E438" s="46" t="s">
        <v>10</v>
      </c>
      <c r="F438" s="46">
        <v>39</v>
      </c>
      <c r="G438" s="46">
        <v>15</v>
      </c>
      <c r="H438" s="46">
        <v>14</v>
      </c>
      <c r="I438" s="46" t="s">
        <v>233</v>
      </c>
      <c r="J438" s="16" t="s">
        <v>14</v>
      </c>
      <c r="K438" s="16" t="s">
        <v>15</v>
      </c>
      <c r="L438" s="43"/>
      <c r="M438" s="46" t="str">
        <f>HYPERLINK("http://www.stromypodkontrolou.cz/map/tree/eb9fcfc1-f6fa-405f-85c7-690b2fb79ecd/a3b75ec7-6908-490d-b282-b1d29a9e2e2e")</f>
        <v>http://www.stromypodkontrolou.cz/map/tree/eb9fcfc1-f6fa-405f-85c7-690b2fb79ecd/a3b75ec7-6908-490d-b282-b1d29a9e2e2e</v>
      </c>
      <c r="N438" s="5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</row>
    <row r="439" spans="1:14" s="3" customFormat="1" ht="45">
      <c r="A439" s="9">
        <v>434</v>
      </c>
      <c r="B439" s="10" t="s">
        <v>232</v>
      </c>
      <c r="C439" s="11">
        <v>28</v>
      </c>
      <c r="D439" s="10" t="s">
        <v>27</v>
      </c>
      <c r="E439" s="10" t="s">
        <v>28</v>
      </c>
      <c r="F439" s="10">
        <v>27</v>
      </c>
      <c r="G439" s="10">
        <v>16</v>
      </c>
      <c r="H439" s="10">
        <v>8</v>
      </c>
      <c r="I439" s="10"/>
      <c r="J439" s="10" t="s">
        <v>19</v>
      </c>
      <c r="K439" s="10" t="s">
        <v>20</v>
      </c>
      <c r="L439" s="10"/>
      <c r="M439" s="10" t="str">
        <f>HYPERLINK("http://www.stromypodkontrolou.cz/map/tree/eb9fcfc1-f6fa-405f-85c7-690b2fb79ecd/61961b77-7e12-4967-b013-fe0f02b86de5")</f>
        <v>http://www.stromypodkontrolou.cz/map/tree/eb9fcfc1-f6fa-405f-85c7-690b2fb79ecd/61961b77-7e12-4967-b013-fe0f02b86de5</v>
      </c>
      <c r="N439" s="53"/>
    </row>
    <row r="440" spans="1:207" s="15" customFormat="1" ht="22.5">
      <c r="A440" s="12">
        <v>435</v>
      </c>
      <c r="B440" s="46" t="s">
        <v>232</v>
      </c>
      <c r="C440" s="47">
        <v>39</v>
      </c>
      <c r="D440" s="46" t="s">
        <v>27</v>
      </c>
      <c r="E440" s="46" t="s">
        <v>28</v>
      </c>
      <c r="F440" s="46">
        <v>31</v>
      </c>
      <c r="G440" s="46">
        <v>18</v>
      </c>
      <c r="H440" s="46">
        <v>8</v>
      </c>
      <c r="I440" s="46" t="s">
        <v>95</v>
      </c>
      <c r="J440" s="16" t="s">
        <v>25</v>
      </c>
      <c r="K440" s="16" t="s">
        <v>26</v>
      </c>
      <c r="L440" s="43"/>
      <c r="M440" s="46" t="str">
        <f>HYPERLINK("http://www.stromypodkontrolou.cz/map/tree/eb9fcfc1-f6fa-405f-85c7-690b2fb79ecd/001c5040-f7b6-48d5-8582-c673ebc33b78")</f>
        <v>http://www.stromypodkontrolou.cz/map/tree/eb9fcfc1-f6fa-405f-85c7-690b2fb79ecd/001c5040-f7b6-48d5-8582-c673ebc33b78</v>
      </c>
      <c r="N440" s="5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</row>
    <row r="441" spans="1:207" s="15" customFormat="1" ht="22.5">
      <c r="A441" s="12">
        <v>436</v>
      </c>
      <c r="B441" s="46" t="s">
        <v>232</v>
      </c>
      <c r="C441" s="47">
        <v>39</v>
      </c>
      <c r="D441" s="46" t="s">
        <v>27</v>
      </c>
      <c r="E441" s="46" t="s">
        <v>28</v>
      </c>
      <c r="F441" s="46">
        <v>31</v>
      </c>
      <c r="G441" s="46">
        <v>18</v>
      </c>
      <c r="H441" s="46">
        <v>8</v>
      </c>
      <c r="I441" s="46" t="s">
        <v>95</v>
      </c>
      <c r="J441" s="16" t="s">
        <v>19</v>
      </c>
      <c r="K441" s="16" t="s">
        <v>20</v>
      </c>
      <c r="L441" s="43"/>
      <c r="M441" s="46" t="str">
        <f>HYPERLINK("http://www.stromypodkontrolou.cz/map/tree/eb9fcfc1-f6fa-405f-85c7-690b2fb79ecd/001c5040-f7b6-48d5-8582-c673ebc33b78")</f>
        <v>http://www.stromypodkontrolou.cz/map/tree/eb9fcfc1-f6fa-405f-85c7-690b2fb79ecd/001c5040-f7b6-48d5-8582-c673ebc33b78</v>
      </c>
      <c r="N441" s="5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</row>
    <row r="442" spans="1:14" s="3" customFormat="1" ht="22.5">
      <c r="A442" s="9">
        <v>437</v>
      </c>
      <c r="B442" s="38" t="s">
        <v>232</v>
      </c>
      <c r="C442" s="41">
        <v>40</v>
      </c>
      <c r="D442" s="38" t="s">
        <v>27</v>
      </c>
      <c r="E442" s="38" t="s">
        <v>28</v>
      </c>
      <c r="F442" s="38">
        <v>35</v>
      </c>
      <c r="G442" s="38">
        <v>16</v>
      </c>
      <c r="H442" s="38">
        <v>11</v>
      </c>
      <c r="I442" s="38" t="s">
        <v>95</v>
      </c>
      <c r="J442" s="10" t="s">
        <v>19</v>
      </c>
      <c r="K442" s="10" t="s">
        <v>20</v>
      </c>
      <c r="L442" s="42"/>
      <c r="M442" s="38" t="str">
        <f>HYPERLINK("http://www.stromypodkontrolou.cz/map/tree/eb9fcfc1-f6fa-405f-85c7-690b2fb79ecd/7bc2bb4d-b0b8-45b2-b3e7-5697c018f05b")</f>
        <v>http://www.stromypodkontrolou.cz/map/tree/eb9fcfc1-f6fa-405f-85c7-690b2fb79ecd/7bc2bb4d-b0b8-45b2-b3e7-5697c018f05b</v>
      </c>
      <c r="N442" s="53"/>
    </row>
    <row r="443" spans="1:14" s="3" customFormat="1" ht="22.5">
      <c r="A443" s="9">
        <v>438</v>
      </c>
      <c r="B443" s="38"/>
      <c r="C443" s="41"/>
      <c r="D443" s="38"/>
      <c r="E443" s="38"/>
      <c r="F443" s="38"/>
      <c r="G443" s="38"/>
      <c r="H443" s="38"/>
      <c r="I443" s="38"/>
      <c r="J443" s="10" t="s">
        <v>12</v>
      </c>
      <c r="K443" s="10" t="s">
        <v>13</v>
      </c>
      <c r="L443" s="42"/>
      <c r="M443" s="38"/>
      <c r="N443" s="53"/>
    </row>
    <row r="444" spans="1:207" s="15" customFormat="1" ht="45">
      <c r="A444" s="12">
        <v>439</v>
      </c>
      <c r="B444" s="16" t="s">
        <v>232</v>
      </c>
      <c r="C444" s="14">
        <v>45</v>
      </c>
      <c r="D444" s="16" t="s">
        <v>27</v>
      </c>
      <c r="E444" s="16" t="s">
        <v>28</v>
      </c>
      <c r="F444" s="16">
        <v>34</v>
      </c>
      <c r="G444" s="16">
        <v>23</v>
      </c>
      <c r="H444" s="16">
        <v>12</v>
      </c>
      <c r="I444" s="16"/>
      <c r="J444" s="16" t="s">
        <v>19</v>
      </c>
      <c r="K444" s="16" t="s">
        <v>20</v>
      </c>
      <c r="L444" s="16"/>
      <c r="M444" s="16" t="str">
        <f>HYPERLINK("http://www.stromypodkontrolou.cz/map/tree/eb9fcfc1-f6fa-405f-85c7-690b2fb79ecd/00fc3069-0ecf-4081-9168-b3983ea504b2")</f>
        <v>http://www.stromypodkontrolou.cz/map/tree/eb9fcfc1-f6fa-405f-85c7-690b2fb79ecd/00fc3069-0ecf-4081-9168-b3983ea504b2</v>
      </c>
      <c r="N444" s="5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</row>
    <row r="445" spans="1:14" s="3" customFormat="1" ht="45">
      <c r="A445" s="9">
        <v>440</v>
      </c>
      <c r="B445" s="10" t="s">
        <v>232</v>
      </c>
      <c r="C445" s="11">
        <v>46</v>
      </c>
      <c r="D445" s="10" t="s">
        <v>27</v>
      </c>
      <c r="E445" s="10" t="s">
        <v>28</v>
      </c>
      <c r="F445" s="10">
        <v>39</v>
      </c>
      <c r="G445" s="10">
        <v>21</v>
      </c>
      <c r="H445" s="10">
        <v>12</v>
      </c>
      <c r="I445" s="10"/>
      <c r="J445" s="10" t="s">
        <v>19</v>
      </c>
      <c r="K445" s="10" t="s">
        <v>20</v>
      </c>
      <c r="L445" s="10"/>
      <c r="M445" s="10" t="str">
        <f>HYPERLINK("http://www.stromypodkontrolou.cz/map/tree/eb9fcfc1-f6fa-405f-85c7-690b2fb79ecd/da841bba-e9da-483e-b305-4b152f845046")</f>
        <v>http://www.stromypodkontrolou.cz/map/tree/eb9fcfc1-f6fa-405f-85c7-690b2fb79ecd/da841bba-e9da-483e-b305-4b152f845046</v>
      </c>
      <c r="N445" s="53"/>
    </row>
    <row r="446" spans="1:207" s="15" customFormat="1" ht="45">
      <c r="A446" s="12">
        <v>441</v>
      </c>
      <c r="B446" s="16" t="s">
        <v>235</v>
      </c>
      <c r="C446" s="14">
        <v>25</v>
      </c>
      <c r="D446" s="16" t="s">
        <v>170</v>
      </c>
      <c r="E446" s="16" t="s">
        <v>171</v>
      </c>
      <c r="F446" s="16">
        <v>17</v>
      </c>
      <c r="G446" s="16">
        <v>4</v>
      </c>
      <c r="H446" s="16">
        <v>2</v>
      </c>
      <c r="I446" s="16" t="s">
        <v>236</v>
      </c>
      <c r="J446" s="16" t="s">
        <v>12</v>
      </c>
      <c r="K446" s="16" t="s">
        <v>13</v>
      </c>
      <c r="L446" s="16"/>
      <c r="M446" s="16" t="str">
        <f>HYPERLINK("http://www.stromypodkontrolou.cz/map/tree/eb9fcfc1-f6fa-405f-85c7-690b2fb79ecd/bd99c712-7f16-4f7e-9a8e-6a3bc085a886")</f>
        <v>http://www.stromypodkontrolou.cz/map/tree/eb9fcfc1-f6fa-405f-85c7-690b2fb79ecd/bd99c712-7f16-4f7e-9a8e-6a3bc085a886</v>
      </c>
      <c r="N446" s="5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</row>
    <row r="447" spans="1:14" s="3" customFormat="1" ht="45">
      <c r="A447" s="9">
        <v>442</v>
      </c>
      <c r="B447" s="10" t="s">
        <v>235</v>
      </c>
      <c r="C447" s="11">
        <v>33</v>
      </c>
      <c r="D447" s="10" t="s">
        <v>170</v>
      </c>
      <c r="E447" s="10" t="s">
        <v>171</v>
      </c>
      <c r="F447" s="10">
        <v>35</v>
      </c>
      <c r="G447" s="10">
        <v>16</v>
      </c>
      <c r="H447" s="10">
        <v>5</v>
      </c>
      <c r="I447" s="10"/>
      <c r="J447" s="10" t="s">
        <v>19</v>
      </c>
      <c r="K447" s="10" t="s">
        <v>20</v>
      </c>
      <c r="L447" s="10"/>
      <c r="M447" s="10" t="str">
        <f>HYPERLINK("http://www.stromypodkontrolou.cz/map/tree/eb9fcfc1-f6fa-405f-85c7-690b2fb79ecd/9289a4a6-af42-4286-9b94-af1b014bb1ef")</f>
        <v>http://www.stromypodkontrolou.cz/map/tree/eb9fcfc1-f6fa-405f-85c7-690b2fb79ecd/9289a4a6-af42-4286-9b94-af1b014bb1ef</v>
      </c>
      <c r="N447" s="53"/>
    </row>
    <row r="448" spans="1:207" s="15" customFormat="1" ht="12.75">
      <c r="A448" s="12">
        <v>443</v>
      </c>
      <c r="B448" s="46" t="s">
        <v>235</v>
      </c>
      <c r="C448" s="47">
        <v>101</v>
      </c>
      <c r="D448" s="46" t="s">
        <v>37</v>
      </c>
      <c r="E448" s="46" t="s">
        <v>38</v>
      </c>
      <c r="F448" s="46">
        <v>31</v>
      </c>
      <c r="G448" s="46">
        <v>14</v>
      </c>
      <c r="H448" s="46">
        <v>6</v>
      </c>
      <c r="I448" s="46"/>
      <c r="J448" s="16" t="s">
        <v>14</v>
      </c>
      <c r="K448" s="16" t="s">
        <v>15</v>
      </c>
      <c r="L448" s="43"/>
      <c r="M448" s="46" t="str">
        <f>HYPERLINK("http://www.stromypodkontrolou.cz/map/tree/eb9fcfc1-f6fa-405f-85c7-690b2fb79ecd/1a539533-1d1b-4330-b4fc-33fbed8ce410")</f>
        <v>http://www.stromypodkontrolou.cz/map/tree/eb9fcfc1-f6fa-405f-85c7-690b2fb79ecd/1a539533-1d1b-4330-b4fc-33fbed8ce410</v>
      </c>
      <c r="N448" s="5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</row>
    <row r="449" spans="1:207" s="15" customFormat="1" ht="12.75">
      <c r="A449" s="12">
        <v>444</v>
      </c>
      <c r="B449" s="46"/>
      <c r="C449" s="47"/>
      <c r="D449" s="46"/>
      <c r="E449" s="46"/>
      <c r="F449" s="46"/>
      <c r="G449" s="46"/>
      <c r="H449" s="46"/>
      <c r="I449" s="46"/>
      <c r="J449" s="16" t="s">
        <v>280</v>
      </c>
      <c r="K449" s="16" t="s">
        <v>281</v>
      </c>
      <c r="L449" s="43"/>
      <c r="M449" s="46"/>
      <c r="N449" s="5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</row>
    <row r="450" spans="1:14" s="3" customFormat="1" ht="25.5" customHeight="1">
      <c r="A450" s="9">
        <v>445</v>
      </c>
      <c r="B450" s="38" t="s">
        <v>235</v>
      </c>
      <c r="C450" s="41">
        <v>146</v>
      </c>
      <c r="D450" s="38" t="s">
        <v>9</v>
      </c>
      <c r="E450" s="38" t="s">
        <v>10</v>
      </c>
      <c r="F450" s="38">
        <v>25</v>
      </c>
      <c r="G450" s="38">
        <v>12</v>
      </c>
      <c r="H450" s="38">
        <v>5</v>
      </c>
      <c r="I450" s="38" t="s">
        <v>23</v>
      </c>
      <c r="J450" s="10" t="s">
        <v>12</v>
      </c>
      <c r="K450" s="10" t="s">
        <v>13</v>
      </c>
      <c r="L450" s="10" t="s">
        <v>17</v>
      </c>
      <c r="M450" s="38" t="str">
        <f>HYPERLINK("http://www.stromypodkontrolou.cz/map/tree/eb9fcfc1-f6fa-405f-85c7-690b2fb79ecd/d733ff9a-0947-4d15-83fb-ba9be2ae1f5e")</f>
        <v>http://www.stromypodkontrolou.cz/map/tree/eb9fcfc1-f6fa-405f-85c7-690b2fb79ecd/d733ff9a-0947-4d15-83fb-ba9be2ae1f5e</v>
      </c>
      <c r="N450" s="53"/>
    </row>
    <row r="451" spans="1:14" s="3" customFormat="1" ht="12.75">
      <c r="A451" s="9">
        <v>446</v>
      </c>
      <c r="B451" s="38" t="s">
        <v>235</v>
      </c>
      <c r="C451" s="41">
        <v>146</v>
      </c>
      <c r="D451" s="38" t="s">
        <v>9</v>
      </c>
      <c r="E451" s="38" t="s">
        <v>10</v>
      </c>
      <c r="F451" s="38">
        <v>25</v>
      </c>
      <c r="G451" s="38">
        <v>12</v>
      </c>
      <c r="H451" s="38">
        <v>5</v>
      </c>
      <c r="I451" s="38" t="s">
        <v>23</v>
      </c>
      <c r="J451" s="10" t="s">
        <v>14</v>
      </c>
      <c r="K451" s="10" t="s">
        <v>15</v>
      </c>
      <c r="L451" s="10"/>
      <c r="M451" s="38" t="str">
        <f>HYPERLINK("http://www.stromypodkontrolou.cz/map/tree/eb9fcfc1-f6fa-405f-85c7-690b2fb79ecd/d733ff9a-0947-4d15-83fb-ba9be2ae1f5e")</f>
        <v>http://www.stromypodkontrolou.cz/map/tree/eb9fcfc1-f6fa-405f-85c7-690b2fb79ecd/d733ff9a-0947-4d15-83fb-ba9be2ae1f5e</v>
      </c>
      <c r="N451" s="53"/>
    </row>
    <row r="452" spans="1:207" s="15" customFormat="1" ht="12.75">
      <c r="A452" s="12">
        <v>447</v>
      </c>
      <c r="B452" s="46" t="s">
        <v>235</v>
      </c>
      <c r="C452" s="47">
        <v>179</v>
      </c>
      <c r="D452" s="46" t="s">
        <v>74</v>
      </c>
      <c r="E452" s="46" t="s">
        <v>75</v>
      </c>
      <c r="F452" s="46">
        <v>37</v>
      </c>
      <c r="G452" s="46">
        <v>13</v>
      </c>
      <c r="H452" s="46">
        <v>7</v>
      </c>
      <c r="I452" s="46"/>
      <c r="J452" s="16" t="s">
        <v>14</v>
      </c>
      <c r="K452" s="16" t="s">
        <v>15</v>
      </c>
      <c r="L452" s="16"/>
      <c r="M452" s="46" t="str">
        <f>HYPERLINK("http://www.stromypodkontrolou.cz/map/tree/eb9fcfc1-f6fa-405f-85c7-690b2fb79ecd/e1cc8c4e-efce-41cb-838d-1725a420df35")</f>
        <v>http://www.stromypodkontrolou.cz/map/tree/eb9fcfc1-f6fa-405f-85c7-690b2fb79ecd/e1cc8c4e-efce-41cb-838d-1725a420df35</v>
      </c>
      <c r="N452" s="5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</row>
    <row r="453" spans="1:207" s="15" customFormat="1" ht="22.5">
      <c r="A453" s="12">
        <v>448</v>
      </c>
      <c r="B453" s="46" t="s">
        <v>235</v>
      </c>
      <c r="C453" s="47">
        <v>179</v>
      </c>
      <c r="D453" s="46" t="s">
        <v>74</v>
      </c>
      <c r="E453" s="46" t="s">
        <v>75</v>
      </c>
      <c r="F453" s="46">
        <v>37</v>
      </c>
      <c r="G453" s="46">
        <v>13</v>
      </c>
      <c r="H453" s="46">
        <v>7</v>
      </c>
      <c r="I453" s="46"/>
      <c r="J453" s="16" t="s">
        <v>12</v>
      </c>
      <c r="K453" s="16" t="s">
        <v>13</v>
      </c>
      <c r="L453" s="16" t="s">
        <v>22</v>
      </c>
      <c r="M453" s="46" t="str">
        <f>HYPERLINK("http://www.stromypodkontrolou.cz/map/tree/eb9fcfc1-f6fa-405f-85c7-690b2fb79ecd/e1cc8c4e-efce-41cb-838d-1725a420df35")</f>
        <v>http://www.stromypodkontrolou.cz/map/tree/eb9fcfc1-f6fa-405f-85c7-690b2fb79ecd/e1cc8c4e-efce-41cb-838d-1725a420df35</v>
      </c>
      <c r="N453" s="5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</row>
    <row r="454" spans="1:14" s="3" customFormat="1" ht="22.5">
      <c r="A454" s="9">
        <v>449</v>
      </c>
      <c r="B454" s="38" t="s">
        <v>235</v>
      </c>
      <c r="C454" s="41">
        <v>186</v>
      </c>
      <c r="D454" s="38" t="s">
        <v>237</v>
      </c>
      <c r="E454" s="38" t="s">
        <v>238</v>
      </c>
      <c r="F454" s="38">
        <v>41</v>
      </c>
      <c r="G454" s="38">
        <v>15</v>
      </c>
      <c r="H454" s="38">
        <v>10</v>
      </c>
      <c r="I454" s="38" t="s">
        <v>126</v>
      </c>
      <c r="J454" s="10" t="s">
        <v>19</v>
      </c>
      <c r="K454" s="10" t="s">
        <v>20</v>
      </c>
      <c r="L454" s="10"/>
      <c r="M454" s="38" t="str">
        <f>HYPERLINK("http://www.stromypodkontrolou.cz/map/tree/eb9fcfc1-f6fa-405f-85c7-690b2fb79ecd/d7b978b2-dc75-433a-a8ac-398f6298bfe2")</f>
        <v>http://www.stromypodkontrolou.cz/map/tree/eb9fcfc1-f6fa-405f-85c7-690b2fb79ecd/d7b978b2-dc75-433a-a8ac-398f6298bfe2</v>
      </c>
      <c r="N454" s="53"/>
    </row>
    <row r="455" spans="1:14" s="3" customFormat="1" ht="22.5">
      <c r="A455" s="9">
        <v>450</v>
      </c>
      <c r="B455" s="38" t="s">
        <v>235</v>
      </c>
      <c r="C455" s="41">
        <v>186</v>
      </c>
      <c r="D455" s="38" t="s">
        <v>237</v>
      </c>
      <c r="E455" s="38" t="s">
        <v>238</v>
      </c>
      <c r="F455" s="38">
        <v>41</v>
      </c>
      <c r="G455" s="38">
        <v>15</v>
      </c>
      <c r="H455" s="38">
        <v>10</v>
      </c>
      <c r="I455" s="38" t="s">
        <v>126</v>
      </c>
      <c r="J455" s="10" t="s">
        <v>14</v>
      </c>
      <c r="K455" s="10" t="s">
        <v>15</v>
      </c>
      <c r="L455" s="10" t="s">
        <v>22</v>
      </c>
      <c r="M455" s="38" t="str">
        <f>HYPERLINK("http://www.stromypodkontrolou.cz/map/tree/eb9fcfc1-f6fa-405f-85c7-690b2fb79ecd/d7b978b2-dc75-433a-a8ac-398f6298bfe2")</f>
        <v>http://www.stromypodkontrolou.cz/map/tree/eb9fcfc1-f6fa-405f-85c7-690b2fb79ecd/d7b978b2-dc75-433a-a8ac-398f6298bfe2</v>
      </c>
      <c r="N455" s="53"/>
    </row>
    <row r="456" spans="1:207" s="15" customFormat="1" ht="22.5">
      <c r="A456" s="12">
        <v>451</v>
      </c>
      <c r="B456" s="46" t="s">
        <v>235</v>
      </c>
      <c r="C456" s="47">
        <v>249</v>
      </c>
      <c r="D456" s="46" t="s">
        <v>66</v>
      </c>
      <c r="E456" s="46" t="s">
        <v>67</v>
      </c>
      <c r="F456" s="46">
        <v>37</v>
      </c>
      <c r="G456" s="46">
        <v>17</v>
      </c>
      <c r="H456" s="46">
        <v>9</v>
      </c>
      <c r="I456" s="46" t="s">
        <v>239</v>
      </c>
      <c r="J456" s="16" t="s">
        <v>25</v>
      </c>
      <c r="K456" s="16" t="s">
        <v>26</v>
      </c>
      <c r="L456" s="16" t="s">
        <v>57</v>
      </c>
      <c r="M456" s="46" t="str">
        <f>HYPERLINK("http://www.stromypodkontrolou.cz/map/tree/eb9fcfc1-f6fa-405f-85c7-690b2fb79ecd/62f33901-28c7-4143-81af-0f66a862fe5c")</f>
        <v>http://www.stromypodkontrolou.cz/map/tree/eb9fcfc1-f6fa-405f-85c7-690b2fb79ecd/62f33901-28c7-4143-81af-0f66a862fe5c</v>
      </c>
      <c r="N456" s="5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</row>
    <row r="457" spans="1:207" s="15" customFormat="1" ht="12.75">
      <c r="A457" s="12">
        <v>452</v>
      </c>
      <c r="B457" s="46" t="s">
        <v>235</v>
      </c>
      <c r="C457" s="47">
        <v>249</v>
      </c>
      <c r="D457" s="46" t="s">
        <v>66</v>
      </c>
      <c r="E457" s="46" t="s">
        <v>67</v>
      </c>
      <c r="F457" s="46">
        <v>37</v>
      </c>
      <c r="G457" s="46">
        <v>17</v>
      </c>
      <c r="H457" s="46">
        <v>9</v>
      </c>
      <c r="I457" s="46" t="s">
        <v>239</v>
      </c>
      <c r="J457" s="16" t="s">
        <v>14</v>
      </c>
      <c r="K457" s="16" t="s">
        <v>15</v>
      </c>
      <c r="L457" s="16"/>
      <c r="M457" s="46" t="str">
        <f>HYPERLINK("http://www.stromypodkontrolou.cz/map/tree/eb9fcfc1-f6fa-405f-85c7-690b2fb79ecd/62f33901-28c7-4143-81af-0f66a862fe5c")</f>
        <v>http://www.stromypodkontrolou.cz/map/tree/eb9fcfc1-f6fa-405f-85c7-690b2fb79ecd/62f33901-28c7-4143-81af-0f66a862fe5c</v>
      </c>
      <c r="N457" s="5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</row>
    <row r="458" spans="1:14" s="3" customFormat="1" ht="25.5" customHeight="1">
      <c r="A458" s="9">
        <v>453</v>
      </c>
      <c r="B458" s="38" t="s">
        <v>235</v>
      </c>
      <c r="C458" s="41">
        <v>251</v>
      </c>
      <c r="D458" s="38" t="s">
        <v>9</v>
      </c>
      <c r="E458" s="38" t="s">
        <v>10</v>
      </c>
      <c r="F458" s="38">
        <v>31</v>
      </c>
      <c r="G458" s="38">
        <v>12</v>
      </c>
      <c r="H458" s="38">
        <v>8</v>
      </c>
      <c r="I458" s="38" t="s">
        <v>29</v>
      </c>
      <c r="J458" s="10" t="s">
        <v>12</v>
      </c>
      <c r="K458" s="10" t="s">
        <v>13</v>
      </c>
      <c r="L458" s="10" t="s">
        <v>17</v>
      </c>
      <c r="M458" s="38" t="str">
        <f>HYPERLINK("http://www.stromypodkontrolou.cz/map/tree/eb9fcfc1-f6fa-405f-85c7-690b2fb79ecd/64249fc0-b77a-48c5-9d8a-7d521dbf6143")</f>
        <v>http://www.stromypodkontrolou.cz/map/tree/eb9fcfc1-f6fa-405f-85c7-690b2fb79ecd/64249fc0-b77a-48c5-9d8a-7d521dbf6143</v>
      </c>
      <c r="N458" s="53"/>
    </row>
    <row r="459" spans="1:14" s="3" customFormat="1" ht="22.5">
      <c r="A459" s="9">
        <v>454</v>
      </c>
      <c r="B459" s="38" t="s">
        <v>235</v>
      </c>
      <c r="C459" s="41">
        <v>251</v>
      </c>
      <c r="D459" s="38" t="s">
        <v>9</v>
      </c>
      <c r="E459" s="38" t="s">
        <v>10</v>
      </c>
      <c r="F459" s="38">
        <v>31</v>
      </c>
      <c r="G459" s="38">
        <v>12</v>
      </c>
      <c r="H459" s="38">
        <v>8</v>
      </c>
      <c r="I459" s="38" t="s">
        <v>29</v>
      </c>
      <c r="J459" s="10" t="s">
        <v>19</v>
      </c>
      <c r="K459" s="10" t="s">
        <v>20</v>
      </c>
      <c r="L459" s="10"/>
      <c r="M459" s="38" t="str">
        <f>HYPERLINK("http://www.stromypodkontrolou.cz/map/tree/eb9fcfc1-f6fa-405f-85c7-690b2fb79ecd/64249fc0-b77a-48c5-9d8a-7d521dbf6143")</f>
        <v>http://www.stromypodkontrolou.cz/map/tree/eb9fcfc1-f6fa-405f-85c7-690b2fb79ecd/64249fc0-b77a-48c5-9d8a-7d521dbf6143</v>
      </c>
      <c r="N459" s="53"/>
    </row>
    <row r="460" spans="1:207" s="15" customFormat="1" ht="25.5" customHeight="1">
      <c r="A460" s="12">
        <v>455</v>
      </c>
      <c r="B460" s="46" t="s">
        <v>235</v>
      </c>
      <c r="C460" s="47">
        <v>260</v>
      </c>
      <c r="D460" s="46" t="s">
        <v>9</v>
      </c>
      <c r="E460" s="46" t="s">
        <v>10</v>
      </c>
      <c r="F460" s="46">
        <v>33</v>
      </c>
      <c r="G460" s="46">
        <v>13</v>
      </c>
      <c r="H460" s="46">
        <v>10</v>
      </c>
      <c r="I460" s="46" t="s">
        <v>29</v>
      </c>
      <c r="J460" s="16" t="s">
        <v>12</v>
      </c>
      <c r="K460" s="16" t="s">
        <v>13</v>
      </c>
      <c r="L460" s="16" t="s">
        <v>17</v>
      </c>
      <c r="M460" s="46" t="str">
        <f>HYPERLINK("http://www.stromypodkontrolou.cz/map/tree/eb9fcfc1-f6fa-405f-85c7-690b2fb79ecd/23339258-5c0f-4af0-b78f-756cc80cdf59")</f>
        <v>http://www.stromypodkontrolou.cz/map/tree/eb9fcfc1-f6fa-405f-85c7-690b2fb79ecd/23339258-5c0f-4af0-b78f-756cc80cdf59</v>
      </c>
      <c r="N460" s="5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</row>
    <row r="461" spans="1:207" s="15" customFormat="1" ht="12.75">
      <c r="A461" s="12">
        <v>456</v>
      </c>
      <c r="B461" s="46" t="s">
        <v>235</v>
      </c>
      <c r="C461" s="47">
        <v>260</v>
      </c>
      <c r="D461" s="46" t="s">
        <v>9</v>
      </c>
      <c r="E461" s="46" t="s">
        <v>10</v>
      </c>
      <c r="F461" s="46">
        <v>33</v>
      </c>
      <c r="G461" s="46">
        <v>13</v>
      </c>
      <c r="H461" s="46">
        <v>10</v>
      </c>
      <c r="I461" s="46" t="s">
        <v>29</v>
      </c>
      <c r="J461" s="16" t="s">
        <v>14</v>
      </c>
      <c r="K461" s="16" t="s">
        <v>15</v>
      </c>
      <c r="L461" s="16"/>
      <c r="M461" s="46" t="str">
        <f>HYPERLINK("http://www.stromypodkontrolou.cz/map/tree/eb9fcfc1-f6fa-405f-85c7-690b2fb79ecd/23339258-5c0f-4af0-b78f-756cc80cdf59")</f>
        <v>http://www.stromypodkontrolou.cz/map/tree/eb9fcfc1-f6fa-405f-85c7-690b2fb79ecd/23339258-5c0f-4af0-b78f-756cc80cdf59</v>
      </c>
      <c r="N461" s="5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</row>
    <row r="462" spans="1:14" s="3" customFormat="1" ht="12.75">
      <c r="A462" s="9">
        <v>457</v>
      </c>
      <c r="B462" s="38" t="s">
        <v>240</v>
      </c>
      <c r="C462" s="41">
        <v>2</v>
      </c>
      <c r="D462" s="38" t="s">
        <v>9</v>
      </c>
      <c r="E462" s="38" t="s">
        <v>10</v>
      </c>
      <c r="F462" s="38">
        <v>30</v>
      </c>
      <c r="G462" s="38">
        <v>13</v>
      </c>
      <c r="H462" s="38">
        <v>10</v>
      </c>
      <c r="I462" s="38"/>
      <c r="J462" s="10" t="s">
        <v>14</v>
      </c>
      <c r="K462" s="10" t="s">
        <v>15</v>
      </c>
      <c r="L462" s="42"/>
      <c r="M462" s="38" t="str">
        <f>HYPERLINK("http://www.stromypodkontrolou.cz/map/tree/eb9fcfc1-f6fa-405f-85c7-690b2fb79ecd/5c3821a4-5887-481b-b22e-5fa92f908c8f")</f>
        <v>http://www.stromypodkontrolou.cz/map/tree/eb9fcfc1-f6fa-405f-85c7-690b2fb79ecd/5c3821a4-5887-481b-b22e-5fa92f908c8f</v>
      </c>
      <c r="N462" s="53"/>
    </row>
    <row r="463" spans="1:14" s="3" customFormat="1" ht="22.5">
      <c r="A463" s="9">
        <v>458</v>
      </c>
      <c r="B463" s="38" t="s">
        <v>240</v>
      </c>
      <c r="C463" s="41">
        <v>2</v>
      </c>
      <c r="D463" s="38" t="s">
        <v>9</v>
      </c>
      <c r="E463" s="38" t="s">
        <v>10</v>
      </c>
      <c r="F463" s="38">
        <v>30</v>
      </c>
      <c r="G463" s="38">
        <v>13</v>
      </c>
      <c r="H463" s="38">
        <v>10</v>
      </c>
      <c r="I463" s="38"/>
      <c r="J463" s="10" t="s">
        <v>25</v>
      </c>
      <c r="K463" s="10" t="s">
        <v>26</v>
      </c>
      <c r="L463" s="42"/>
      <c r="M463" s="38" t="str">
        <f>HYPERLINK("http://www.stromypodkontrolou.cz/map/tree/eb9fcfc1-f6fa-405f-85c7-690b2fb79ecd/5c3821a4-5887-481b-b22e-5fa92f908c8f")</f>
        <v>http://www.stromypodkontrolou.cz/map/tree/eb9fcfc1-f6fa-405f-85c7-690b2fb79ecd/5c3821a4-5887-481b-b22e-5fa92f908c8f</v>
      </c>
      <c r="N463" s="53"/>
    </row>
    <row r="464" spans="1:14" s="3" customFormat="1" ht="33.75">
      <c r="A464" s="9">
        <v>459</v>
      </c>
      <c r="B464" s="38" t="s">
        <v>240</v>
      </c>
      <c r="C464" s="41">
        <v>2</v>
      </c>
      <c r="D464" s="38" t="s">
        <v>9</v>
      </c>
      <c r="E464" s="38" t="s">
        <v>10</v>
      </c>
      <c r="F464" s="38">
        <v>30</v>
      </c>
      <c r="G464" s="38">
        <v>13</v>
      </c>
      <c r="H464" s="38">
        <v>10</v>
      </c>
      <c r="I464" s="38"/>
      <c r="J464" s="10" t="s">
        <v>12</v>
      </c>
      <c r="K464" s="10" t="s">
        <v>13</v>
      </c>
      <c r="L464" s="10" t="s">
        <v>17</v>
      </c>
      <c r="M464" s="38" t="str">
        <f>HYPERLINK("http://www.stromypodkontrolou.cz/map/tree/eb9fcfc1-f6fa-405f-85c7-690b2fb79ecd/5c3821a4-5887-481b-b22e-5fa92f908c8f")</f>
        <v>http://www.stromypodkontrolou.cz/map/tree/eb9fcfc1-f6fa-405f-85c7-690b2fb79ecd/5c3821a4-5887-481b-b22e-5fa92f908c8f</v>
      </c>
      <c r="N464" s="53"/>
    </row>
    <row r="465" spans="1:207" s="15" customFormat="1" ht="22.5">
      <c r="A465" s="12">
        <v>460</v>
      </c>
      <c r="B465" s="46" t="s">
        <v>240</v>
      </c>
      <c r="C465" s="47">
        <v>10</v>
      </c>
      <c r="D465" s="46" t="s">
        <v>9</v>
      </c>
      <c r="E465" s="46" t="s">
        <v>10</v>
      </c>
      <c r="F465" s="46">
        <v>21</v>
      </c>
      <c r="G465" s="46">
        <v>13</v>
      </c>
      <c r="H465" s="46">
        <v>9</v>
      </c>
      <c r="I465" s="46"/>
      <c r="J465" s="16" t="s">
        <v>25</v>
      </c>
      <c r="K465" s="16" t="s">
        <v>26</v>
      </c>
      <c r="L465" s="16"/>
      <c r="M465" s="46" t="str">
        <f>HYPERLINK("http://www.stromypodkontrolou.cz/map/tree/eb9fcfc1-f6fa-405f-85c7-690b2fb79ecd/110aa7c7-65e3-460b-995e-0ffaaf7d79e4")</f>
        <v>http://www.stromypodkontrolou.cz/map/tree/eb9fcfc1-f6fa-405f-85c7-690b2fb79ecd/110aa7c7-65e3-460b-995e-0ffaaf7d79e4</v>
      </c>
      <c r="N465" s="5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</row>
    <row r="466" spans="1:207" s="15" customFormat="1" ht="25.5" customHeight="1">
      <c r="A466" s="12">
        <v>461</v>
      </c>
      <c r="B466" s="46" t="s">
        <v>240</v>
      </c>
      <c r="C466" s="47">
        <v>10</v>
      </c>
      <c r="D466" s="46" t="s">
        <v>9</v>
      </c>
      <c r="E466" s="46" t="s">
        <v>10</v>
      </c>
      <c r="F466" s="46">
        <v>21</v>
      </c>
      <c r="G466" s="46">
        <v>13</v>
      </c>
      <c r="H466" s="46">
        <v>9</v>
      </c>
      <c r="I466" s="46"/>
      <c r="J466" s="16" t="s">
        <v>12</v>
      </c>
      <c r="K466" s="16" t="s">
        <v>13</v>
      </c>
      <c r="L466" s="16" t="s">
        <v>17</v>
      </c>
      <c r="M466" s="46" t="str">
        <f>HYPERLINK("http://www.stromypodkontrolou.cz/map/tree/eb9fcfc1-f6fa-405f-85c7-690b2fb79ecd/110aa7c7-65e3-460b-995e-0ffaaf7d79e4")</f>
        <v>http://www.stromypodkontrolou.cz/map/tree/eb9fcfc1-f6fa-405f-85c7-690b2fb79ecd/110aa7c7-65e3-460b-995e-0ffaaf7d79e4</v>
      </c>
      <c r="N466" s="5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</row>
    <row r="467" spans="1:207" s="15" customFormat="1" ht="15.75" customHeight="1">
      <c r="A467" s="12">
        <v>462</v>
      </c>
      <c r="B467" s="46" t="s">
        <v>240</v>
      </c>
      <c r="C467" s="47">
        <v>10</v>
      </c>
      <c r="D467" s="46" t="s">
        <v>9</v>
      </c>
      <c r="E467" s="46" t="s">
        <v>10</v>
      </c>
      <c r="F467" s="46">
        <v>21</v>
      </c>
      <c r="G467" s="46">
        <v>13</v>
      </c>
      <c r="H467" s="46">
        <v>9</v>
      </c>
      <c r="I467" s="46"/>
      <c r="J467" s="16" t="s">
        <v>14</v>
      </c>
      <c r="K467" s="16" t="s">
        <v>15</v>
      </c>
      <c r="L467" s="16"/>
      <c r="M467" s="46" t="str">
        <f>HYPERLINK("http://www.stromypodkontrolou.cz/map/tree/eb9fcfc1-f6fa-405f-85c7-690b2fb79ecd/110aa7c7-65e3-460b-995e-0ffaaf7d79e4")</f>
        <v>http://www.stromypodkontrolou.cz/map/tree/eb9fcfc1-f6fa-405f-85c7-690b2fb79ecd/110aa7c7-65e3-460b-995e-0ffaaf7d79e4</v>
      </c>
      <c r="N467" s="5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</row>
    <row r="468" spans="1:14" s="3" customFormat="1" ht="12.75">
      <c r="A468" s="9">
        <v>463</v>
      </c>
      <c r="B468" s="38" t="s">
        <v>240</v>
      </c>
      <c r="C468" s="41">
        <v>11</v>
      </c>
      <c r="D468" s="38" t="s">
        <v>9</v>
      </c>
      <c r="E468" s="38" t="s">
        <v>10</v>
      </c>
      <c r="F468" s="38">
        <v>26</v>
      </c>
      <c r="G468" s="38">
        <v>10</v>
      </c>
      <c r="H468" s="38">
        <v>9</v>
      </c>
      <c r="I468" s="38" t="s">
        <v>16</v>
      </c>
      <c r="J468" s="10" t="s">
        <v>14</v>
      </c>
      <c r="K468" s="10" t="s">
        <v>15</v>
      </c>
      <c r="L468" s="10"/>
      <c r="M468" s="38" t="str">
        <f>HYPERLINK("http://www.stromypodkontrolou.cz/map/tree/eb9fcfc1-f6fa-405f-85c7-690b2fb79ecd/00b860c8-94c4-4e2c-89ad-df635e5a03c1")</f>
        <v>http://www.stromypodkontrolou.cz/map/tree/eb9fcfc1-f6fa-405f-85c7-690b2fb79ecd/00b860c8-94c4-4e2c-89ad-df635e5a03c1</v>
      </c>
      <c r="N468" s="53"/>
    </row>
    <row r="469" spans="1:14" s="3" customFormat="1" ht="25.5" customHeight="1">
      <c r="A469" s="9">
        <v>464</v>
      </c>
      <c r="B469" s="38" t="s">
        <v>240</v>
      </c>
      <c r="C469" s="41">
        <v>11</v>
      </c>
      <c r="D469" s="38" t="s">
        <v>9</v>
      </c>
      <c r="E469" s="38" t="s">
        <v>10</v>
      </c>
      <c r="F469" s="38">
        <v>26</v>
      </c>
      <c r="G469" s="38">
        <v>10</v>
      </c>
      <c r="H469" s="38">
        <v>9</v>
      </c>
      <c r="I469" s="38" t="s">
        <v>16</v>
      </c>
      <c r="J469" s="10" t="s">
        <v>12</v>
      </c>
      <c r="K469" s="10" t="s">
        <v>13</v>
      </c>
      <c r="L469" s="10" t="s">
        <v>17</v>
      </c>
      <c r="M469" s="38" t="str">
        <f>HYPERLINK("http://www.stromypodkontrolou.cz/map/tree/eb9fcfc1-f6fa-405f-85c7-690b2fb79ecd/00b860c8-94c4-4e2c-89ad-df635e5a03c1")</f>
        <v>http://www.stromypodkontrolou.cz/map/tree/eb9fcfc1-f6fa-405f-85c7-690b2fb79ecd/00b860c8-94c4-4e2c-89ad-df635e5a03c1</v>
      </c>
      <c r="N469" s="53"/>
    </row>
    <row r="470" spans="1:207" s="15" customFormat="1" ht="12.75">
      <c r="A470" s="12">
        <v>465</v>
      </c>
      <c r="B470" s="46" t="s">
        <v>240</v>
      </c>
      <c r="C470" s="47">
        <v>80</v>
      </c>
      <c r="D470" s="46" t="s">
        <v>9</v>
      </c>
      <c r="E470" s="46" t="s">
        <v>10</v>
      </c>
      <c r="F470" s="46">
        <v>29</v>
      </c>
      <c r="G470" s="46">
        <v>15</v>
      </c>
      <c r="H470" s="46">
        <v>12</v>
      </c>
      <c r="I470" s="46"/>
      <c r="J470" s="16" t="s">
        <v>14</v>
      </c>
      <c r="K470" s="16" t="s">
        <v>15</v>
      </c>
      <c r="L470" s="16"/>
      <c r="M470" s="46" t="str">
        <f>HYPERLINK("http://www.stromypodkontrolou.cz/map/tree/eb9fcfc1-f6fa-405f-85c7-690b2fb79ecd/aa864c5b-771e-4c0f-a091-eb84313d9867")</f>
        <v>http://www.stromypodkontrolou.cz/map/tree/eb9fcfc1-f6fa-405f-85c7-690b2fb79ecd/aa864c5b-771e-4c0f-a091-eb84313d9867</v>
      </c>
      <c r="N470" s="5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</row>
    <row r="471" spans="1:207" s="15" customFormat="1" ht="25.5" customHeight="1">
      <c r="A471" s="12">
        <v>466</v>
      </c>
      <c r="B471" s="46" t="s">
        <v>240</v>
      </c>
      <c r="C471" s="47">
        <v>80</v>
      </c>
      <c r="D471" s="46" t="s">
        <v>9</v>
      </c>
      <c r="E471" s="46" t="s">
        <v>10</v>
      </c>
      <c r="F471" s="46">
        <v>29</v>
      </c>
      <c r="G471" s="46">
        <v>15</v>
      </c>
      <c r="H471" s="46">
        <v>12</v>
      </c>
      <c r="I471" s="46"/>
      <c r="J471" s="16" t="s">
        <v>12</v>
      </c>
      <c r="K471" s="16" t="s">
        <v>13</v>
      </c>
      <c r="L471" s="16" t="s">
        <v>17</v>
      </c>
      <c r="M471" s="46" t="str">
        <f>HYPERLINK("http://www.stromypodkontrolou.cz/map/tree/eb9fcfc1-f6fa-405f-85c7-690b2fb79ecd/aa864c5b-771e-4c0f-a091-eb84313d9867")</f>
        <v>http://www.stromypodkontrolou.cz/map/tree/eb9fcfc1-f6fa-405f-85c7-690b2fb79ecd/aa864c5b-771e-4c0f-a091-eb84313d9867</v>
      </c>
      <c r="N471" s="5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</row>
    <row r="472" spans="1:14" s="3" customFormat="1" ht="45">
      <c r="A472" s="9">
        <v>467</v>
      </c>
      <c r="B472" s="10" t="s">
        <v>240</v>
      </c>
      <c r="C472" s="11">
        <v>87</v>
      </c>
      <c r="D472" s="10" t="s">
        <v>27</v>
      </c>
      <c r="E472" s="10" t="s">
        <v>28</v>
      </c>
      <c r="F472" s="10">
        <v>34</v>
      </c>
      <c r="G472" s="10">
        <v>19</v>
      </c>
      <c r="H472" s="10">
        <v>10</v>
      </c>
      <c r="I472" s="10" t="s">
        <v>95</v>
      </c>
      <c r="J472" s="10" t="s">
        <v>19</v>
      </c>
      <c r="K472" s="10" t="s">
        <v>20</v>
      </c>
      <c r="L472" s="10"/>
      <c r="M472" s="10" t="str">
        <f>HYPERLINK("http://www.stromypodkontrolou.cz/map/tree/eb9fcfc1-f6fa-405f-85c7-690b2fb79ecd/88fc4f2c-1de3-4e48-8176-8c97891e4cd9")</f>
        <v>http://www.stromypodkontrolou.cz/map/tree/eb9fcfc1-f6fa-405f-85c7-690b2fb79ecd/88fc4f2c-1de3-4e48-8176-8c97891e4cd9</v>
      </c>
      <c r="N472" s="53"/>
    </row>
    <row r="473" spans="1:207" s="15" customFormat="1" ht="22.5">
      <c r="A473" s="12">
        <v>468</v>
      </c>
      <c r="B473" s="46" t="s">
        <v>241</v>
      </c>
      <c r="C473" s="47">
        <v>13</v>
      </c>
      <c r="D473" s="46" t="s">
        <v>242</v>
      </c>
      <c r="E473" s="46" t="s">
        <v>243</v>
      </c>
      <c r="F473" s="46">
        <v>52</v>
      </c>
      <c r="G473" s="46">
        <v>20</v>
      </c>
      <c r="H473" s="46">
        <v>10</v>
      </c>
      <c r="I473" s="46" t="s">
        <v>105</v>
      </c>
      <c r="J473" s="16" t="s">
        <v>25</v>
      </c>
      <c r="K473" s="16" t="s">
        <v>26</v>
      </c>
      <c r="L473" s="16" t="s">
        <v>57</v>
      </c>
      <c r="M473" s="46" t="str">
        <f>HYPERLINK("http://www.stromypodkontrolou.cz/map/tree/eb9fcfc1-f6fa-405f-85c7-690b2fb79ecd/8215fe9c-0c52-41e7-a51a-b9c1df8a91ea")</f>
        <v>http://www.stromypodkontrolou.cz/map/tree/eb9fcfc1-f6fa-405f-85c7-690b2fb79ecd/8215fe9c-0c52-41e7-a51a-b9c1df8a91ea</v>
      </c>
      <c r="N473" s="5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</row>
    <row r="474" spans="1:207" s="15" customFormat="1" ht="22.5">
      <c r="A474" s="12">
        <v>469</v>
      </c>
      <c r="B474" s="46"/>
      <c r="C474" s="47"/>
      <c r="D474" s="46"/>
      <c r="E474" s="46"/>
      <c r="F474" s="46"/>
      <c r="G474" s="46"/>
      <c r="H474" s="46"/>
      <c r="I474" s="46"/>
      <c r="J474" s="16" t="s">
        <v>12</v>
      </c>
      <c r="K474" s="16" t="s">
        <v>13</v>
      </c>
      <c r="L474" s="43"/>
      <c r="M474" s="46"/>
      <c r="N474" s="5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</row>
    <row r="475" spans="1:207" s="15" customFormat="1" ht="15.75" customHeight="1">
      <c r="A475" s="12">
        <v>470</v>
      </c>
      <c r="B475" s="46"/>
      <c r="C475" s="47"/>
      <c r="D475" s="46"/>
      <c r="E475" s="46"/>
      <c r="F475" s="46"/>
      <c r="G475" s="46"/>
      <c r="H475" s="46"/>
      <c r="I475" s="46"/>
      <c r="J475" s="16" t="s">
        <v>14</v>
      </c>
      <c r="K475" s="16" t="s">
        <v>15</v>
      </c>
      <c r="L475" s="43"/>
      <c r="M475" s="46"/>
      <c r="N475" s="5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</row>
    <row r="476" spans="1:14" s="3" customFormat="1" ht="12.75">
      <c r="A476" s="9">
        <v>471</v>
      </c>
      <c r="B476" s="38" t="s">
        <v>241</v>
      </c>
      <c r="C476" s="41">
        <v>39</v>
      </c>
      <c r="D476" s="38" t="s">
        <v>9</v>
      </c>
      <c r="E476" s="38" t="s">
        <v>10</v>
      </c>
      <c r="F476" s="38">
        <v>31</v>
      </c>
      <c r="G476" s="38">
        <v>15</v>
      </c>
      <c r="H476" s="38">
        <v>10</v>
      </c>
      <c r="I476" s="38" t="s">
        <v>29</v>
      </c>
      <c r="J476" s="10" t="s">
        <v>14</v>
      </c>
      <c r="K476" s="10" t="s">
        <v>15</v>
      </c>
      <c r="L476" s="10"/>
      <c r="M476" s="38" t="str">
        <f>HYPERLINK("http://www.stromypodkontrolou.cz/map/tree/eb9fcfc1-f6fa-405f-85c7-690b2fb79ecd/ab30a0dc-0fbe-46fe-b4d1-5f0dc5bb64a4")</f>
        <v>http://www.stromypodkontrolou.cz/map/tree/eb9fcfc1-f6fa-405f-85c7-690b2fb79ecd/ab30a0dc-0fbe-46fe-b4d1-5f0dc5bb64a4</v>
      </c>
      <c r="N476" s="53"/>
    </row>
    <row r="477" spans="1:14" s="3" customFormat="1" ht="33.75">
      <c r="A477" s="9">
        <v>472</v>
      </c>
      <c r="B477" s="38" t="s">
        <v>241</v>
      </c>
      <c r="C477" s="41">
        <v>39</v>
      </c>
      <c r="D477" s="38" t="s">
        <v>9</v>
      </c>
      <c r="E477" s="38" t="s">
        <v>10</v>
      </c>
      <c r="F477" s="38">
        <v>31</v>
      </c>
      <c r="G477" s="38">
        <v>15</v>
      </c>
      <c r="H477" s="38">
        <v>10</v>
      </c>
      <c r="I477" s="38" t="s">
        <v>29</v>
      </c>
      <c r="J477" s="10" t="s">
        <v>12</v>
      </c>
      <c r="K477" s="10" t="s">
        <v>13</v>
      </c>
      <c r="L477" s="10" t="s">
        <v>17</v>
      </c>
      <c r="M477" s="38" t="str">
        <f>HYPERLINK("http://www.stromypodkontrolou.cz/map/tree/eb9fcfc1-f6fa-405f-85c7-690b2fb79ecd/ab30a0dc-0fbe-46fe-b4d1-5f0dc5bb64a4")</f>
        <v>http://www.stromypodkontrolou.cz/map/tree/eb9fcfc1-f6fa-405f-85c7-690b2fb79ecd/ab30a0dc-0fbe-46fe-b4d1-5f0dc5bb64a4</v>
      </c>
      <c r="N477" s="53"/>
    </row>
    <row r="478" spans="1:207" s="15" customFormat="1" ht="45">
      <c r="A478" s="12">
        <v>473</v>
      </c>
      <c r="B478" s="16" t="s">
        <v>241</v>
      </c>
      <c r="C478" s="14">
        <v>40</v>
      </c>
      <c r="D478" s="16" t="s">
        <v>9</v>
      </c>
      <c r="E478" s="16" t="s">
        <v>10</v>
      </c>
      <c r="F478" s="16">
        <v>31</v>
      </c>
      <c r="G478" s="16">
        <v>14</v>
      </c>
      <c r="H478" s="16">
        <v>9</v>
      </c>
      <c r="I478" s="16"/>
      <c r="J478" s="16" t="s">
        <v>14</v>
      </c>
      <c r="K478" s="16" t="s">
        <v>15</v>
      </c>
      <c r="L478" s="16" t="s">
        <v>17</v>
      </c>
      <c r="M478" s="16" t="str">
        <f>HYPERLINK("http://www.stromypodkontrolou.cz/map/tree/eb9fcfc1-f6fa-405f-85c7-690b2fb79ecd/dda03274-dc42-43e8-a20e-9deb1a225d61")</f>
        <v>http://www.stromypodkontrolou.cz/map/tree/eb9fcfc1-f6fa-405f-85c7-690b2fb79ecd/dda03274-dc42-43e8-a20e-9deb1a225d61</v>
      </c>
      <c r="N478" s="5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</row>
    <row r="479" spans="1:14" s="3" customFormat="1" ht="45">
      <c r="A479" s="9">
        <v>474</v>
      </c>
      <c r="B479" s="10" t="s">
        <v>241</v>
      </c>
      <c r="C479" s="11">
        <v>42</v>
      </c>
      <c r="D479" s="10" t="s">
        <v>9</v>
      </c>
      <c r="E479" s="10" t="s">
        <v>10</v>
      </c>
      <c r="F479" s="10">
        <v>25</v>
      </c>
      <c r="G479" s="10">
        <v>13</v>
      </c>
      <c r="H479" s="10">
        <v>3</v>
      </c>
      <c r="I479" s="10"/>
      <c r="J479" s="10" t="s">
        <v>14</v>
      </c>
      <c r="K479" s="10" t="s">
        <v>15</v>
      </c>
      <c r="L479" s="10"/>
      <c r="M479" s="10" t="str">
        <f>HYPERLINK("http://www.stromypodkontrolou.cz/map/tree/eb9fcfc1-f6fa-405f-85c7-690b2fb79ecd/98bb7f92-f951-46d8-9e7b-0382bf1e9c20")</f>
        <v>http://www.stromypodkontrolou.cz/map/tree/eb9fcfc1-f6fa-405f-85c7-690b2fb79ecd/98bb7f92-f951-46d8-9e7b-0382bf1e9c20</v>
      </c>
      <c r="N479" s="53"/>
    </row>
    <row r="480" spans="1:207" s="15" customFormat="1" ht="12.75">
      <c r="A480" s="12">
        <v>475</v>
      </c>
      <c r="B480" s="46" t="s">
        <v>241</v>
      </c>
      <c r="C480" s="47">
        <v>49</v>
      </c>
      <c r="D480" s="46" t="s">
        <v>9</v>
      </c>
      <c r="E480" s="46" t="s">
        <v>10</v>
      </c>
      <c r="F480" s="46">
        <v>29</v>
      </c>
      <c r="G480" s="46">
        <v>13</v>
      </c>
      <c r="H480" s="46">
        <v>5</v>
      </c>
      <c r="I480" s="46" t="s">
        <v>23</v>
      </c>
      <c r="J480" s="16" t="s">
        <v>14</v>
      </c>
      <c r="K480" s="16" t="s">
        <v>15</v>
      </c>
      <c r="L480" s="16"/>
      <c r="M480" s="46" t="str">
        <f>HYPERLINK("http://www.stromypodkontrolou.cz/map/tree/eb9fcfc1-f6fa-405f-85c7-690b2fb79ecd/ee1b6fca-0f44-465c-9fbb-7dd50dc14a8a")</f>
        <v>http://www.stromypodkontrolou.cz/map/tree/eb9fcfc1-f6fa-405f-85c7-690b2fb79ecd/ee1b6fca-0f44-465c-9fbb-7dd50dc14a8a</v>
      </c>
      <c r="N480" s="5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</row>
    <row r="481" spans="1:207" s="15" customFormat="1" ht="25.5" customHeight="1">
      <c r="A481" s="12">
        <v>476</v>
      </c>
      <c r="B481" s="46" t="s">
        <v>241</v>
      </c>
      <c r="C481" s="47">
        <v>49</v>
      </c>
      <c r="D481" s="46" t="s">
        <v>9</v>
      </c>
      <c r="E481" s="46" t="s">
        <v>10</v>
      </c>
      <c r="F481" s="46">
        <v>29</v>
      </c>
      <c r="G481" s="46">
        <v>13</v>
      </c>
      <c r="H481" s="46">
        <v>5</v>
      </c>
      <c r="I481" s="46" t="s">
        <v>23</v>
      </c>
      <c r="J481" s="16" t="s">
        <v>12</v>
      </c>
      <c r="K481" s="16" t="s">
        <v>13</v>
      </c>
      <c r="L481" s="16" t="s">
        <v>17</v>
      </c>
      <c r="M481" s="46" t="str">
        <f>HYPERLINK("http://www.stromypodkontrolou.cz/map/tree/eb9fcfc1-f6fa-405f-85c7-690b2fb79ecd/ee1b6fca-0f44-465c-9fbb-7dd50dc14a8a")</f>
        <v>http://www.stromypodkontrolou.cz/map/tree/eb9fcfc1-f6fa-405f-85c7-690b2fb79ecd/ee1b6fca-0f44-465c-9fbb-7dd50dc14a8a</v>
      </c>
      <c r="N481" s="5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</row>
    <row r="482" spans="1:14" s="3" customFormat="1" ht="45">
      <c r="A482" s="9">
        <v>477</v>
      </c>
      <c r="B482" s="10" t="s">
        <v>241</v>
      </c>
      <c r="C482" s="11">
        <v>51</v>
      </c>
      <c r="D482" s="10" t="s">
        <v>31</v>
      </c>
      <c r="E482" s="10" t="s">
        <v>32</v>
      </c>
      <c r="F482" s="10">
        <v>45</v>
      </c>
      <c r="G482" s="10">
        <v>15</v>
      </c>
      <c r="H482" s="10">
        <v>8</v>
      </c>
      <c r="I482" s="10" t="s">
        <v>126</v>
      </c>
      <c r="J482" s="10" t="s">
        <v>14</v>
      </c>
      <c r="K482" s="10" t="s">
        <v>15</v>
      </c>
      <c r="L482" s="10" t="s">
        <v>22</v>
      </c>
      <c r="M482" s="10" t="str">
        <f>HYPERLINK("http://www.stromypodkontrolou.cz/map/tree/eb9fcfc1-f6fa-405f-85c7-690b2fb79ecd/67258719-f8a6-4e75-893e-369e8ac2faa0")</f>
        <v>http://www.stromypodkontrolou.cz/map/tree/eb9fcfc1-f6fa-405f-85c7-690b2fb79ecd/67258719-f8a6-4e75-893e-369e8ac2faa0</v>
      </c>
      <c r="N482" s="53"/>
    </row>
    <row r="483" spans="1:207" s="15" customFormat="1" ht="22.5">
      <c r="A483" s="12">
        <v>478</v>
      </c>
      <c r="B483" s="46" t="s">
        <v>241</v>
      </c>
      <c r="C483" s="47">
        <v>67</v>
      </c>
      <c r="D483" s="46" t="s">
        <v>31</v>
      </c>
      <c r="E483" s="46" t="s">
        <v>32</v>
      </c>
      <c r="F483" s="46">
        <v>39</v>
      </c>
      <c r="G483" s="46">
        <v>13</v>
      </c>
      <c r="H483" s="46">
        <v>9</v>
      </c>
      <c r="I483" s="46" t="s">
        <v>244</v>
      </c>
      <c r="J483" s="16" t="s">
        <v>12</v>
      </c>
      <c r="K483" s="16" t="s">
        <v>13</v>
      </c>
      <c r="L483" s="16" t="s">
        <v>22</v>
      </c>
      <c r="M483" s="46" t="str">
        <f>HYPERLINK("http://www.stromypodkontrolou.cz/map/tree/eb9fcfc1-f6fa-405f-85c7-690b2fb79ecd/ec420fc6-d280-4d89-b0df-f1ecd2ffddec")</f>
        <v>http://www.stromypodkontrolou.cz/map/tree/eb9fcfc1-f6fa-405f-85c7-690b2fb79ecd/ec420fc6-d280-4d89-b0df-f1ecd2ffddec</v>
      </c>
      <c r="N483" s="5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</row>
    <row r="484" spans="1:207" s="15" customFormat="1" ht="22.5">
      <c r="A484" s="12">
        <v>479</v>
      </c>
      <c r="B484" s="46"/>
      <c r="C484" s="47"/>
      <c r="D484" s="46"/>
      <c r="E484" s="46"/>
      <c r="F484" s="46"/>
      <c r="G484" s="46"/>
      <c r="H484" s="46"/>
      <c r="I484" s="46"/>
      <c r="J484" s="16" t="s">
        <v>19</v>
      </c>
      <c r="K484" s="16" t="s">
        <v>20</v>
      </c>
      <c r="L484" s="16"/>
      <c r="M484" s="46"/>
      <c r="N484" s="5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</row>
    <row r="485" spans="1:14" s="3" customFormat="1" ht="22.5">
      <c r="A485" s="9">
        <v>480</v>
      </c>
      <c r="B485" s="38" t="s">
        <v>241</v>
      </c>
      <c r="C485" s="41">
        <v>85</v>
      </c>
      <c r="D485" s="38" t="s">
        <v>9</v>
      </c>
      <c r="E485" s="38" t="s">
        <v>10</v>
      </c>
      <c r="F485" s="38">
        <v>38</v>
      </c>
      <c r="G485" s="38">
        <v>16</v>
      </c>
      <c r="H485" s="38">
        <v>6</v>
      </c>
      <c r="I485" s="38" t="s">
        <v>245</v>
      </c>
      <c r="J485" s="10" t="s">
        <v>12</v>
      </c>
      <c r="K485" s="10" t="s">
        <v>13</v>
      </c>
      <c r="L485" s="42"/>
      <c r="M485" s="38" t="str">
        <f>HYPERLINK("http://www.stromypodkontrolou.cz/map/tree/eb9fcfc1-f6fa-405f-85c7-690b2fb79ecd/e96cfc2a-cb6d-404d-b379-5692c8222330")</f>
        <v>http://www.stromypodkontrolou.cz/map/tree/eb9fcfc1-f6fa-405f-85c7-690b2fb79ecd/e96cfc2a-cb6d-404d-b379-5692c8222330</v>
      </c>
      <c r="N485" s="53"/>
    </row>
    <row r="486" spans="1:14" s="3" customFormat="1" ht="35.25" customHeight="1">
      <c r="A486" s="9">
        <v>481</v>
      </c>
      <c r="B486" s="38" t="s">
        <v>241</v>
      </c>
      <c r="C486" s="41">
        <v>85</v>
      </c>
      <c r="D486" s="38" t="s">
        <v>9</v>
      </c>
      <c r="E486" s="38" t="s">
        <v>10</v>
      </c>
      <c r="F486" s="38">
        <v>38</v>
      </c>
      <c r="G486" s="38">
        <v>16</v>
      </c>
      <c r="H486" s="38">
        <v>6</v>
      </c>
      <c r="I486" s="38" t="s">
        <v>245</v>
      </c>
      <c r="J486" s="10" t="s">
        <v>14</v>
      </c>
      <c r="K486" s="10" t="s">
        <v>15</v>
      </c>
      <c r="L486" s="42"/>
      <c r="M486" s="38" t="str">
        <f>HYPERLINK("http://www.stromypodkontrolou.cz/map/tree/eb9fcfc1-f6fa-405f-85c7-690b2fb79ecd/e96cfc2a-cb6d-404d-b379-5692c8222330")</f>
        <v>http://www.stromypodkontrolou.cz/map/tree/eb9fcfc1-f6fa-405f-85c7-690b2fb79ecd/e96cfc2a-cb6d-404d-b379-5692c8222330</v>
      </c>
      <c r="N486" s="53"/>
    </row>
    <row r="487" spans="1:207" s="15" customFormat="1" ht="12.75">
      <c r="A487" s="12">
        <v>482</v>
      </c>
      <c r="B487" s="46" t="s">
        <v>241</v>
      </c>
      <c r="C487" s="47">
        <v>91</v>
      </c>
      <c r="D487" s="46" t="s">
        <v>9</v>
      </c>
      <c r="E487" s="46" t="s">
        <v>10</v>
      </c>
      <c r="F487" s="46">
        <v>32</v>
      </c>
      <c r="G487" s="46">
        <v>15</v>
      </c>
      <c r="H487" s="46">
        <v>5</v>
      </c>
      <c r="I487" s="46" t="s">
        <v>11</v>
      </c>
      <c r="J487" s="16" t="s">
        <v>14</v>
      </c>
      <c r="K487" s="16" t="s">
        <v>15</v>
      </c>
      <c r="L487" s="43"/>
      <c r="M487" s="46" t="str">
        <f>HYPERLINK("http://www.stromypodkontrolou.cz/map/tree/eb9fcfc1-f6fa-405f-85c7-690b2fb79ecd/101f5867-5f84-4372-830b-b95e29fb844c")</f>
        <v>http://www.stromypodkontrolou.cz/map/tree/eb9fcfc1-f6fa-405f-85c7-690b2fb79ecd/101f5867-5f84-4372-830b-b95e29fb844c</v>
      </c>
      <c r="N487" s="5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</row>
    <row r="488" spans="1:207" s="15" customFormat="1" ht="35.25" customHeight="1">
      <c r="A488" s="12">
        <v>483</v>
      </c>
      <c r="B488" s="46" t="s">
        <v>241</v>
      </c>
      <c r="C488" s="47">
        <v>91</v>
      </c>
      <c r="D488" s="46" t="s">
        <v>9</v>
      </c>
      <c r="E488" s="46" t="s">
        <v>10</v>
      </c>
      <c r="F488" s="46">
        <v>32</v>
      </c>
      <c r="G488" s="46">
        <v>15</v>
      </c>
      <c r="H488" s="46">
        <v>5</v>
      </c>
      <c r="I488" s="46" t="s">
        <v>11</v>
      </c>
      <c r="J488" s="16" t="s">
        <v>12</v>
      </c>
      <c r="K488" s="16" t="s">
        <v>13</v>
      </c>
      <c r="L488" s="43"/>
      <c r="M488" s="46" t="str">
        <f>HYPERLINK("http://www.stromypodkontrolou.cz/map/tree/eb9fcfc1-f6fa-405f-85c7-690b2fb79ecd/101f5867-5f84-4372-830b-b95e29fb844c")</f>
        <v>http://www.stromypodkontrolou.cz/map/tree/eb9fcfc1-f6fa-405f-85c7-690b2fb79ecd/101f5867-5f84-4372-830b-b95e29fb844c</v>
      </c>
      <c r="N488" s="5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</row>
    <row r="489" spans="1:14" s="3" customFormat="1" ht="25.5" customHeight="1">
      <c r="A489" s="9">
        <v>484</v>
      </c>
      <c r="B489" s="38" t="s">
        <v>241</v>
      </c>
      <c r="C489" s="41">
        <v>92</v>
      </c>
      <c r="D489" s="38" t="s">
        <v>9</v>
      </c>
      <c r="E489" s="38" t="s">
        <v>10</v>
      </c>
      <c r="F489" s="38">
        <v>26</v>
      </c>
      <c r="G489" s="38">
        <v>12</v>
      </c>
      <c r="H489" s="38">
        <v>5</v>
      </c>
      <c r="I489" s="38" t="s">
        <v>23</v>
      </c>
      <c r="J489" s="10" t="s">
        <v>12</v>
      </c>
      <c r="K489" s="10" t="s">
        <v>13</v>
      </c>
      <c r="L489" s="10" t="s">
        <v>17</v>
      </c>
      <c r="M489" s="38" t="str">
        <f>HYPERLINK("http://www.stromypodkontrolou.cz/map/tree/eb9fcfc1-f6fa-405f-85c7-690b2fb79ecd/b67c7dea-5c62-4ebb-bd90-48eb90fc8b7d")</f>
        <v>http://www.stromypodkontrolou.cz/map/tree/eb9fcfc1-f6fa-405f-85c7-690b2fb79ecd/b67c7dea-5c62-4ebb-bd90-48eb90fc8b7d</v>
      </c>
      <c r="N489" s="53"/>
    </row>
    <row r="490" spans="1:14" s="3" customFormat="1" ht="14.25" customHeight="1">
      <c r="A490" s="9">
        <v>485</v>
      </c>
      <c r="B490" s="38" t="s">
        <v>241</v>
      </c>
      <c r="C490" s="41">
        <v>92</v>
      </c>
      <c r="D490" s="38" t="s">
        <v>9</v>
      </c>
      <c r="E490" s="38" t="s">
        <v>10</v>
      </c>
      <c r="F490" s="38">
        <v>26</v>
      </c>
      <c r="G490" s="38">
        <v>12</v>
      </c>
      <c r="H490" s="38">
        <v>5</v>
      </c>
      <c r="I490" s="38" t="s">
        <v>23</v>
      </c>
      <c r="J490" s="10" t="s">
        <v>14</v>
      </c>
      <c r="K490" s="10" t="s">
        <v>15</v>
      </c>
      <c r="L490" s="10"/>
      <c r="M490" s="38" t="str">
        <f>HYPERLINK("http://www.stromypodkontrolou.cz/map/tree/eb9fcfc1-f6fa-405f-85c7-690b2fb79ecd/b67c7dea-5c62-4ebb-bd90-48eb90fc8b7d")</f>
        <v>http://www.stromypodkontrolou.cz/map/tree/eb9fcfc1-f6fa-405f-85c7-690b2fb79ecd/b67c7dea-5c62-4ebb-bd90-48eb90fc8b7d</v>
      </c>
      <c r="N490" s="53"/>
    </row>
    <row r="491" spans="1:207" s="15" customFormat="1" ht="22.5">
      <c r="A491" s="12">
        <v>486</v>
      </c>
      <c r="B491" s="46" t="s">
        <v>241</v>
      </c>
      <c r="C491" s="47">
        <v>96</v>
      </c>
      <c r="D491" s="46" t="s">
        <v>9</v>
      </c>
      <c r="E491" s="46" t="s">
        <v>10</v>
      </c>
      <c r="F491" s="46">
        <v>30</v>
      </c>
      <c r="G491" s="46">
        <v>12</v>
      </c>
      <c r="H491" s="46">
        <v>8</v>
      </c>
      <c r="I491" s="46" t="s">
        <v>16</v>
      </c>
      <c r="J491" s="16" t="s">
        <v>19</v>
      </c>
      <c r="K491" s="16" t="s">
        <v>20</v>
      </c>
      <c r="L491" s="16"/>
      <c r="M491" s="46" t="str">
        <f>HYPERLINK("http://www.stromypodkontrolou.cz/map/tree/eb9fcfc1-f6fa-405f-85c7-690b2fb79ecd/574e4228-33e1-43d5-8239-7bca6673cf4d")</f>
        <v>http://www.stromypodkontrolou.cz/map/tree/eb9fcfc1-f6fa-405f-85c7-690b2fb79ecd/574e4228-33e1-43d5-8239-7bca6673cf4d</v>
      </c>
      <c r="N491" s="5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</row>
    <row r="492" spans="1:207" s="15" customFormat="1" ht="25.5" customHeight="1">
      <c r="A492" s="12">
        <v>487</v>
      </c>
      <c r="B492" s="46" t="s">
        <v>241</v>
      </c>
      <c r="C492" s="47">
        <v>96</v>
      </c>
      <c r="D492" s="46" t="s">
        <v>9</v>
      </c>
      <c r="E492" s="46" t="s">
        <v>10</v>
      </c>
      <c r="F492" s="46">
        <v>30</v>
      </c>
      <c r="G492" s="46">
        <v>12</v>
      </c>
      <c r="H492" s="46">
        <v>8</v>
      </c>
      <c r="I492" s="46" t="s">
        <v>16</v>
      </c>
      <c r="J492" s="16" t="s">
        <v>14</v>
      </c>
      <c r="K492" s="16" t="s">
        <v>15</v>
      </c>
      <c r="L492" s="16" t="s">
        <v>17</v>
      </c>
      <c r="M492" s="46" t="str">
        <f>HYPERLINK("http://www.stromypodkontrolou.cz/map/tree/eb9fcfc1-f6fa-405f-85c7-690b2fb79ecd/574e4228-33e1-43d5-8239-7bca6673cf4d")</f>
        <v>http://www.stromypodkontrolou.cz/map/tree/eb9fcfc1-f6fa-405f-85c7-690b2fb79ecd/574e4228-33e1-43d5-8239-7bca6673cf4d</v>
      </c>
      <c r="N492" s="5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</row>
    <row r="493" spans="1:14" s="3" customFormat="1" ht="25.5" customHeight="1">
      <c r="A493" s="9">
        <v>488</v>
      </c>
      <c r="B493" s="38" t="s">
        <v>241</v>
      </c>
      <c r="C493" s="41">
        <v>106</v>
      </c>
      <c r="D493" s="38" t="s">
        <v>9</v>
      </c>
      <c r="E493" s="38" t="s">
        <v>10</v>
      </c>
      <c r="F493" s="38">
        <v>30</v>
      </c>
      <c r="G493" s="38">
        <v>15</v>
      </c>
      <c r="H493" s="38">
        <v>5</v>
      </c>
      <c r="I493" s="38" t="s">
        <v>246</v>
      </c>
      <c r="J493" s="10" t="s">
        <v>12</v>
      </c>
      <c r="K493" s="10" t="s">
        <v>13</v>
      </c>
      <c r="L493" s="10" t="s">
        <v>17</v>
      </c>
      <c r="M493" s="38" t="str">
        <f>HYPERLINK("http://www.stromypodkontrolou.cz/map/tree/eb9fcfc1-f6fa-405f-85c7-690b2fb79ecd/4232213a-e401-4fed-bddc-a8160c39c8c8")</f>
        <v>http://www.stromypodkontrolou.cz/map/tree/eb9fcfc1-f6fa-405f-85c7-690b2fb79ecd/4232213a-e401-4fed-bddc-a8160c39c8c8</v>
      </c>
      <c r="N493" s="53"/>
    </row>
    <row r="494" spans="1:14" s="3" customFormat="1" ht="22.5" customHeight="1">
      <c r="A494" s="9">
        <v>489</v>
      </c>
      <c r="B494" s="38" t="s">
        <v>241</v>
      </c>
      <c r="C494" s="41">
        <v>106</v>
      </c>
      <c r="D494" s="38" t="s">
        <v>9</v>
      </c>
      <c r="E494" s="38" t="s">
        <v>10</v>
      </c>
      <c r="F494" s="38">
        <v>30</v>
      </c>
      <c r="G494" s="38">
        <v>15</v>
      </c>
      <c r="H494" s="38">
        <v>5</v>
      </c>
      <c r="I494" s="38" t="s">
        <v>246</v>
      </c>
      <c r="J494" s="10" t="s">
        <v>14</v>
      </c>
      <c r="K494" s="10" t="s">
        <v>15</v>
      </c>
      <c r="L494" s="10"/>
      <c r="M494" s="38" t="str">
        <f>HYPERLINK("http://www.stromypodkontrolou.cz/map/tree/eb9fcfc1-f6fa-405f-85c7-690b2fb79ecd/4232213a-e401-4fed-bddc-a8160c39c8c8")</f>
        <v>http://www.stromypodkontrolou.cz/map/tree/eb9fcfc1-f6fa-405f-85c7-690b2fb79ecd/4232213a-e401-4fed-bddc-a8160c39c8c8</v>
      </c>
      <c r="N494" s="53"/>
    </row>
    <row r="495" spans="1:207" s="15" customFormat="1" ht="12.75">
      <c r="A495" s="12">
        <v>490</v>
      </c>
      <c r="B495" s="46" t="s">
        <v>241</v>
      </c>
      <c r="C495" s="47">
        <v>107</v>
      </c>
      <c r="D495" s="46" t="s">
        <v>9</v>
      </c>
      <c r="E495" s="46" t="s">
        <v>10</v>
      </c>
      <c r="F495" s="46">
        <v>40</v>
      </c>
      <c r="G495" s="46">
        <v>15</v>
      </c>
      <c r="H495" s="46">
        <v>5</v>
      </c>
      <c r="I495" s="46" t="s">
        <v>103</v>
      </c>
      <c r="J495" s="16" t="s">
        <v>14</v>
      </c>
      <c r="K495" s="16" t="s">
        <v>15</v>
      </c>
      <c r="L495" s="43"/>
      <c r="M495" s="46" t="str">
        <f>HYPERLINK("http://www.stromypodkontrolou.cz/map/tree/eb9fcfc1-f6fa-405f-85c7-690b2fb79ecd/d74eb4af-3df5-4f33-bf62-e9ec11298946")</f>
        <v>http://www.stromypodkontrolou.cz/map/tree/eb9fcfc1-f6fa-405f-85c7-690b2fb79ecd/d74eb4af-3df5-4f33-bf62-e9ec11298946</v>
      </c>
      <c r="N495" s="5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</row>
    <row r="496" spans="1:207" s="15" customFormat="1" ht="22.5">
      <c r="A496" s="12">
        <v>491</v>
      </c>
      <c r="B496" s="46" t="s">
        <v>241</v>
      </c>
      <c r="C496" s="47">
        <v>107</v>
      </c>
      <c r="D496" s="46" t="s">
        <v>9</v>
      </c>
      <c r="E496" s="46" t="s">
        <v>10</v>
      </c>
      <c r="F496" s="46">
        <v>40</v>
      </c>
      <c r="G496" s="46">
        <v>15</v>
      </c>
      <c r="H496" s="46">
        <v>5</v>
      </c>
      <c r="I496" s="46" t="s">
        <v>103</v>
      </c>
      <c r="J496" s="16" t="s">
        <v>12</v>
      </c>
      <c r="K496" s="16" t="s">
        <v>13</v>
      </c>
      <c r="L496" s="43"/>
      <c r="M496" s="46" t="str">
        <f>HYPERLINK("http://www.stromypodkontrolou.cz/map/tree/eb9fcfc1-f6fa-405f-85c7-690b2fb79ecd/d74eb4af-3df5-4f33-bf62-e9ec11298946")</f>
        <v>http://www.stromypodkontrolou.cz/map/tree/eb9fcfc1-f6fa-405f-85c7-690b2fb79ecd/d74eb4af-3df5-4f33-bf62-e9ec11298946</v>
      </c>
      <c r="N496" s="5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</row>
    <row r="497" spans="1:14" s="3" customFormat="1" ht="25.5" customHeight="1">
      <c r="A497" s="9">
        <v>492</v>
      </c>
      <c r="B497" s="38" t="s">
        <v>241</v>
      </c>
      <c r="C497" s="41">
        <v>108</v>
      </c>
      <c r="D497" s="38" t="s">
        <v>9</v>
      </c>
      <c r="E497" s="38" t="s">
        <v>10</v>
      </c>
      <c r="F497" s="38">
        <v>27</v>
      </c>
      <c r="G497" s="38">
        <v>12</v>
      </c>
      <c r="H497" s="38">
        <v>5</v>
      </c>
      <c r="I497" s="38" t="s">
        <v>23</v>
      </c>
      <c r="J497" s="10" t="s">
        <v>12</v>
      </c>
      <c r="K497" s="10" t="s">
        <v>13</v>
      </c>
      <c r="L497" s="10" t="s">
        <v>17</v>
      </c>
      <c r="M497" s="38" t="str">
        <f>HYPERLINK("http://www.stromypodkontrolou.cz/map/tree/eb9fcfc1-f6fa-405f-85c7-690b2fb79ecd/123a49c9-aaf1-4e06-a71e-c0782324dc98")</f>
        <v>http://www.stromypodkontrolou.cz/map/tree/eb9fcfc1-f6fa-405f-85c7-690b2fb79ecd/123a49c9-aaf1-4e06-a71e-c0782324dc98</v>
      </c>
      <c r="N497" s="53"/>
    </row>
    <row r="498" spans="1:14" s="3" customFormat="1" ht="12.75">
      <c r="A498" s="9">
        <v>493</v>
      </c>
      <c r="B498" s="38" t="s">
        <v>241</v>
      </c>
      <c r="C498" s="41">
        <v>108</v>
      </c>
      <c r="D498" s="38" t="s">
        <v>9</v>
      </c>
      <c r="E498" s="38" t="s">
        <v>10</v>
      </c>
      <c r="F498" s="38">
        <v>27</v>
      </c>
      <c r="G498" s="38">
        <v>12</v>
      </c>
      <c r="H498" s="38">
        <v>5</v>
      </c>
      <c r="I498" s="38" t="s">
        <v>23</v>
      </c>
      <c r="J498" s="10" t="s">
        <v>14</v>
      </c>
      <c r="K498" s="10" t="s">
        <v>15</v>
      </c>
      <c r="L498" s="10"/>
      <c r="M498" s="38" t="str">
        <f>HYPERLINK("http://www.stromypodkontrolou.cz/map/tree/eb9fcfc1-f6fa-405f-85c7-690b2fb79ecd/123a49c9-aaf1-4e06-a71e-c0782324dc98")</f>
        <v>http://www.stromypodkontrolou.cz/map/tree/eb9fcfc1-f6fa-405f-85c7-690b2fb79ecd/123a49c9-aaf1-4e06-a71e-c0782324dc98</v>
      </c>
      <c r="N498" s="53"/>
    </row>
    <row r="499" spans="1:207" s="15" customFormat="1" ht="12.75">
      <c r="A499" s="12">
        <v>494</v>
      </c>
      <c r="B499" s="46" t="s">
        <v>241</v>
      </c>
      <c r="C499" s="47">
        <v>115</v>
      </c>
      <c r="D499" s="46" t="s">
        <v>9</v>
      </c>
      <c r="E499" s="46" t="s">
        <v>10</v>
      </c>
      <c r="F499" s="46">
        <v>31</v>
      </c>
      <c r="G499" s="46">
        <v>13</v>
      </c>
      <c r="H499" s="46">
        <v>6</v>
      </c>
      <c r="I499" s="46" t="s">
        <v>23</v>
      </c>
      <c r="J499" s="16" t="s">
        <v>14</v>
      </c>
      <c r="K499" s="16" t="s">
        <v>15</v>
      </c>
      <c r="L499" s="16"/>
      <c r="M499" s="46" t="str">
        <f>HYPERLINK("http://www.stromypodkontrolou.cz/map/tree/eb9fcfc1-f6fa-405f-85c7-690b2fb79ecd/fbc9429f-2d58-4741-bea2-9851ff8444c1")</f>
        <v>http://www.stromypodkontrolou.cz/map/tree/eb9fcfc1-f6fa-405f-85c7-690b2fb79ecd/fbc9429f-2d58-4741-bea2-9851ff8444c1</v>
      </c>
      <c r="N499" s="5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</row>
    <row r="500" spans="1:207" s="15" customFormat="1" ht="25.5" customHeight="1">
      <c r="A500" s="12">
        <v>495</v>
      </c>
      <c r="B500" s="46" t="s">
        <v>241</v>
      </c>
      <c r="C500" s="47">
        <v>115</v>
      </c>
      <c r="D500" s="46" t="s">
        <v>9</v>
      </c>
      <c r="E500" s="46" t="s">
        <v>10</v>
      </c>
      <c r="F500" s="46">
        <v>31</v>
      </c>
      <c r="G500" s="46">
        <v>13</v>
      </c>
      <c r="H500" s="46">
        <v>6</v>
      </c>
      <c r="I500" s="46" t="s">
        <v>23</v>
      </c>
      <c r="J500" s="16" t="s">
        <v>12</v>
      </c>
      <c r="K500" s="16" t="s">
        <v>13</v>
      </c>
      <c r="L500" s="16" t="s">
        <v>17</v>
      </c>
      <c r="M500" s="46" t="str">
        <f>HYPERLINK("http://www.stromypodkontrolou.cz/map/tree/eb9fcfc1-f6fa-405f-85c7-690b2fb79ecd/fbc9429f-2d58-4741-bea2-9851ff8444c1")</f>
        <v>http://www.stromypodkontrolou.cz/map/tree/eb9fcfc1-f6fa-405f-85c7-690b2fb79ecd/fbc9429f-2d58-4741-bea2-9851ff8444c1</v>
      </c>
      <c r="N500" s="5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</row>
    <row r="501" spans="1:14" s="3" customFormat="1" ht="25.5" customHeight="1">
      <c r="A501" s="9">
        <v>496</v>
      </c>
      <c r="B501" s="38" t="s">
        <v>241</v>
      </c>
      <c r="C501" s="41">
        <v>127</v>
      </c>
      <c r="D501" s="38" t="s">
        <v>9</v>
      </c>
      <c r="E501" s="38" t="s">
        <v>10</v>
      </c>
      <c r="F501" s="38">
        <v>32</v>
      </c>
      <c r="G501" s="38">
        <v>13</v>
      </c>
      <c r="H501" s="38">
        <v>8</v>
      </c>
      <c r="I501" s="38" t="s">
        <v>23</v>
      </c>
      <c r="J501" s="10" t="s">
        <v>12</v>
      </c>
      <c r="K501" s="10" t="s">
        <v>13</v>
      </c>
      <c r="L501" s="10" t="s">
        <v>17</v>
      </c>
      <c r="M501" s="38" t="str">
        <f>HYPERLINK("http://www.stromypodkontrolou.cz/map/tree/eb9fcfc1-f6fa-405f-85c7-690b2fb79ecd/10cfa01f-0bbd-4dc6-af9a-fe0f03ebd43a")</f>
        <v>http://www.stromypodkontrolou.cz/map/tree/eb9fcfc1-f6fa-405f-85c7-690b2fb79ecd/10cfa01f-0bbd-4dc6-af9a-fe0f03ebd43a</v>
      </c>
      <c r="N501" s="53"/>
    </row>
    <row r="502" spans="1:14" s="3" customFormat="1" ht="12.75">
      <c r="A502" s="9">
        <v>497</v>
      </c>
      <c r="B502" s="38" t="s">
        <v>241</v>
      </c>
      <c r="C502" s="41">
        <v>127</v>
      </c>
      <c r="D502" s="38" t="s">
        <v>9</v>
      </c>
      <c r="E502" s="38" t="s">
        <v>10</v>
      </c>
      <c r="F502" s="38">
        <v>32</v>
      </c>
      <c r="G502" s="38">
        <v>13</v>
      </c>
      <c r="H502" s="38">
        <v>8</v>
      </c>
      <c r="I502" s="38" t="s">
        <v>23</v>
      </c>
      <c r="J502" s="10" t="s">
        <v>14</v>
      </c>
      <c r="K502" s="10" t="s">
        <v>15</v>
      </c>
      <c r="L502" s="10"/>
      <c r="M502" s="38" t="str">
        <f>HYPERLINK("http://www.stromypodkontrolou.cz/map/tree/eb9fcfc1-f6fa-405f-85c7-690b2fb79ecd/10cfa01f-0bbd-4dc6-af9a-fe0f03ebd43a")</f>
        <v>http://www.stromypodkontrolou.cz/map/tree/eb9fcfc1-f6fa-405f-85c7-690b2fb79ecd/10cfa01f-0bbd-4dc6-af9a-fe0f03ebd43a</v>
      </c>
      <c r="N502" s="53"/>
    </row>
    <row r="503" spans="1:207" s="15" customFormat="1" ht="12.75">
      <c r="A503" s="12">
        <v>498</v>
      </c>
      <c r="B503" s="46" t="s">
        <v>241</v>
      </c>
      <c r="C503" s="47">
        <v>134</v>
      </c>
      <c r="D503" s="46" t="s">
        <v>89</v>
      </c>
      <c r="E503" s="46" t="s">
        <v>90</v>
      </c>
      <c r="F503" s="46">
        <v>46</v>
      </c>
      <c r="G503" s="46">
        <v>19</v>
      </c>
      <c r="H503" s="46">
        <v>10</v>
      </c>
      <c r="I503" s="46" t="s">
        <v>126</v>
      </c>
      <c r="J503" s="16" t="s">
        <v>14</v>
      </c>
      <c r="K503" s="16" t="s">
        <v>15</v>
      </c>
      <c r="L503" s="16"/>
      <c r="M503" s="46" t="str">
        <f>HYPERLINK("http://www.stromypodkontrolou.cz/map/tree/eb9fcfc1-f6fa-405f-85c7-690b2fb79ecd/6385f025-6b69-4320-b4ff-576427902da4")</f>
        <v>http://www.stromypodkontrolou.cz/map/tree/eb9fcfc1-f6fa-405f-85c7-690b2fb79ecd/6385f025-6b69-4320-b4ff-576427902da4</v>
      </c>
      <c r="N503" s="5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</row>
    <row r="504" spans="1:207" s="15" customFormat="1" ht="22.5">
      <c r="A504" s="12">
        <v>499</v>
      </c>
      <c r="B504" s="46" t="s">
        <v>241</v>
      </c>
      <c r="C504" s="47">
        <v>134</v>
      </c>
      <c r="D504" s="46" t="s">
        <v>89</v>
      </c>
      <c r="E504" s="46" t="s">
        <v>90</v>
      </c>
      <c r="F504" s="46">
        <v>46</v>
      </c>
      <c r="G504" s="46">
        <v>19</v>
      </c>
      <c r="H504" s="46">
        <v>10</v>
      </c>
      <c r="I504" s="46" t="s">
        <v>126</v>
      </c>
      <c r="J504" s="16" t="s">
        <v>12</v>
      </c>
      <c r="K504" s="16" t="s">
        <v>13</v>
      </c>
      <c r="L504" s="16" t="s">
        <v>22</v>
      </c>
      <c r="M504" s="46" t="str">
        <f>HYPERLINK("http://www.stromypodkontrolou.cz/map/tree/eb9fcfc1-f6fa-405f-85c7-690b2fb79ecd/6385f025-6b69-4320-b4ff-576427902da4")</f>
        <v>http://www.stromypodkontrolou.cz/map/tree/eb9fcfc1-f6fa-405f-85c7-690b2fb79ecd/6385f025-6b69-4320-b4ff-576427902da4</v>
      </c>
      <c r="N504" s="5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</row>
    <row r="505" spans="1:14" s="3" customFormat="1" ht="45">
      <c r="A505" s="9">
        <v>500</v>
      </c>
      <c r="B505" s="10" t="s">
        <v>241</v>
      </c>
      <c r="C505" s="11">
        <v>143</v>
      </c>
      <c r="D505" s="10" t="s">
        <v>27</v>
      </c>
      <c r="E505" s="10" t="s">
        <v>28</v>
      </c>
      <c r="F505" s="10">
        <v>25</v>
      </c>
      <c r="G505" s="10">
        <v>12</v>
      </c>
      <c r="H505" s="10">
        <v>4</v>
      </c>
      <c r="I505" s="10" t="s">
        <v>127</v>
      </c>
      <c r="J505" s="10" t="s">
        <v>25</v>
      </c>
      <c r="K505" s="10" t="s">
        <v>26</v>
      </c>
      <c r="L505" s="10"/>
      <c r="M505" s="10" t="str">
        <f>HYPERLINK("http://www.stromypodkontrolou.cz/map/tree/eb9fcfc1-f6fa-405f-85c7-690b2fb79ecd/4fa02204-58d7-41aa-9d73-a3c3592036a1")</f>
        <v>http://www.stromypodkontrolou.cz/map/tree/eb9fcfc1-f6fa-405f-85c7-690b2fb79ecd/4fa02204-58d7-41aa-9d73-a3c3592036a1</v>
      </c>
      <c r="N505" s="53"/>
    </row>
    <row r="506" spans="1:207" s="15" customFormat="1" ht="12.75">
      <c r="A506" s="12">
        <v>501</v>
      </c>
      <c r="B506" s="46" t="s">
        <v>241</v>
      </c>
      <c r="C506" s="47">
        <v>150</v>
      </c>
      <c r="D506" s="46" t="s">
        <v>31</v>
      </c>
      <c r="E506" s="46" t="s">
        <v>32</v>
      </c>
      <c r="F506" s="46">
        <v>39</v>
      </c>
      <c r="G506" s="46">
        <v>16</v>
      </c>
      <c r="H506" s="46">
        <v>8</v>
      </c>
      <c r="I506" s="46"/>
      <c r="J506" s="16" t="s">
        <v>14</v>
      </c>
      <c r="K506" s="16" t="s">
        <v>15</v>
      </c>
      <c r="L506" s="43"/>
      <c r="M506" s="46" t="str">
        <f>HYPERLINK("http://www.stromypodkontrolou.cz/map/tree/eb9fcfc1-f6fa-405f-85c7-690b2fb79ecd/852c1749-d6d4-4354-ab5d-90126fe75b0d")</f>
        <v>http://www.stromypodkontrolou.cz/map/tree/eb9fcfc1-f6fa-405f-85c7-690b2fb79ecd/852c1749-d6d4-4354-ab5d-90126fe75b0d</v>
      </c>
      <c r="N506" s="5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</row>
    <row r="507" spans="1:207" s="15" customFormat="1" ht="22.5">
      <c r="A507" s="12">
        <v>502</v>
      </c>
      <c r="B507" s="46" t="s">
        <v>241</v>
      </c>
      <c r="C507" s="47">
        <v>150</v>
      </c>
      <c r="D507" s="46" t="s">
        <v>31</v>
      </c>
      <c r="E507" s="46" t="s">
        <v>32</v>
      </c>
      <c r="F507" s="46">
        <v>39</v>
      </c>
      <c r="G507" s="46">
        <v>16</v>
      </c>
      <c r="H507" s="46">
        <v>8</v>
      </c>
      <c r="I507" s="46"/>
      <c r="J507" s="16" t="s">
        <v>19</v>
      </c>
      <c r="K507" s="16" t="s">
        <v>20</v>
      </c>
      <c r="L507" s="43"/>
      <c r="M507" s="46" t="str">
        <f>HYPERLINK("http://www.stromypodkontrolou.cz/map/tree/eb9fcfc1-f6fa-405f-85c7-690b2fb79ecd/852c1749-d6d4-4354-ab5d-90126fe75b0d")</f>
        <v>http://www.stromypodkontrolou.cz/map/tree/eb9fcfc1-f6fa-405f-85c7-690b2fb79ecd/852c1749-d6d4-4354-ab5d-90126fe75b0d</v>
      </c>
      <c r="N507" s="5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</row>
    <row r="508" spans="1:14" s="3" customFormat="1" ht="25.5" customHeight="1">
      <c r="A508" s="9">
        <v>503</v>
      </c>
      <c r="B508" s="38" t="s">
        <v>241</v>
      </c>
      <c r="C508" s="41">
        <v>156</v>
      </c>
      <c r="D508" s="38" t="s">
        <v>31</v>
      </c>
      <c r="E508" s="38" t="s">
        <v>32</v>
      </c>
      <c r="F508" s="38">
        <v>37</v>
      </c>
      <c r="G508" s="38">
        <v>16</v>
      </c>
      <c r="H508" s="38">
        <v>9</v>
      </c>
      <c r="I508" s="38" t="s">
        <v>16</v>
      </c>
      <c r="J508" s="10" t="s">
        <v>12</v>
      </c>
      <c r="K508" s="10" t="s">
        <v>13</v>
      </c>
      <c r="L508" s="10" t="s">
        <v>17</v>
      </c>
      <c r="M508" s="38" t="str">
        <f>HYPERLINK("http://www.stromypodkontrolou.cz/map/tree/eb9fcfc1-f6fa-405f-85c7-690b2fb79ecd/babbca39-6724-446e-8b09-e1583d4d8167")</f>
        <v>http://www.stromypodkontrolou.cz/map/tree/eb9fcfc1-f6fa-405f-85c7-690b2fb79ecd/babbca39-6724-446e-8b09-e1583d4d8167</v>
      </c>
      <c r="N508" s="53"/>
    </row>
    <row r="509" spans="1:14" s="3" customFormat="1" ht="12.75">
      <c r="A509" s="9">
        <v>504</v>
      </c>
      <c r="B509" s="38" t="s">
        <v>241</v>
      </c>
      <c r="C509" s="41">
        <v>156</v>
      </c>
      <c r="D509" s="38" t="s">
        <v>31</v>
      </c>
      <c r="E509" s="38" t="s">
        <v>32</v>
      </c>
      <c r="F509" s="38">
        <v>37</v>
      </c>
      <c r="G509" s="38">
        <v>16</v>
      </c>
      <c r="H509" s="38">
        <v>9</v>
      </c>
      <c r="I509" s="38" t="s">
        <v>16</v>
      </c>
      <c r="J509" s="10" t="s">
        <v>14</v>
      </c>
      <c r="K509" s="10" t="s">
        <v>15</v>
      </c>
      <c r="L509" s="10"/>
      <c r="M509" s="38" t="str">
        <f>HYPERLINK("http://www.stromypodkontrolou.cz/map/tree/eb9fcfc1-f6fa-405f-85c7-690b2fb79ecd/babbca39-6724-446e-8b09-e1583d4d8167")</f>
        <v>http://www.stromypodkontrolou.cz/map/tree/eb9fcfc1-f6fa-405f-85c7-690b2fb79ecd/babbca39-6724-446e-8b09-e1583d4d8167</v>
      </c>
      <c r="N509" s="53"/>
    </row>
    <row r="510" spans="1:207" s="15" customFormat="1" ht="45">
      <c r="A510" s="12">
        <v>505</v>
      </c>
      <c r="B510" s="16" t="s">
        <v>241</v>
      </c>
      <c r="C510" s="14">
        <v>178</v>
      </c>
      <c r="D510" s="16" t="s">
        <v>9</v>
      </c>
      <c r="E510" s="16" t="s">
        <v>10</v>
      </c>
      <c r="F510" s="16">
        <v>36</v>
      </c>
      <c r="G510" s="16">
        <v>14</v>
      </c>
      <c r="H510" s="16">
        <v>7</v>
      </c>
      <c r="I510" s="16" t="s">
        <v>247</v>
      </c>
      <c r="J510" s="16" t="s">
        <v>115</v>
      </c>
      <c r="K510" s="16" t="s">
        <v>116</v>
      </c>
      <c r="L510" s="16" t="s">
        <v>189</v>
      </c>
      <c r="M510" s="16" t="str">
        <f>HYPERLINK("http://www.stromypodkontrolou.cz/map/tree/eb9fcfc1-f6fa-405f-85c7-690b2fb79ecd/7b2eeb65-5d76-49cc-9985-d6b929e3e2c0")</f>
        <v>http://www.stromypodkontrolou.cz/map/tree/eb9fcfc1-f6fa-405f-85c7-690b2fb79ecd/7b2eeb65-5d76-49cc-9985-d6b929e3e2c0</v>
      </c>
      <c r="N510" s="5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</row>
    <row r="511" spans="1:14" s="3" customFormat="1" ht="12.75">
      <c r="A511" s="9">
        <v>506</v>
      </c>
      <c r="B511" s="38" t="s">
        <v>241</v>
      </c>
      <c r="C511" s="41">
        <v>205</v>
      </c>
      <c r="D511" s="38" t="s">
        <v>9</v>
      </c>
      <c r="E511" s="38" t="s">
        <v>10</v>
      </c>
      <c r="F511" s="38">
        <v>42</v>
      </c>
      <c r="G511" s="38">
        <v>16</v>
      </c>
      <c r="H511" s="38">
        <v>10</v>
      </c>
      <c r="I511" s="38"/>
      <c r="J511" s="10" t="s">
        <v>14</v>
      </c>
      <c r="K511" s="10" t="s">
        <v>15</v>
      </c>
      <c r="L511" s="10"/>
      <c r="M511" s="38" t="str">
        <f>HYPERLINK("http://www.stromypodkontrolou.cz/map/tree/eb9fcfc1-f6fa-405f-85c7-690b2fb79ecd/72da2eb7-6e98-4a89-b513-a6afd656cc51")</f>
        <v>http://www.stromypodkontrolou.cz/map/tree/eb9fcfc1-f6fa-405f-85c7-690b2fb79ecd/72da2eb7-6e98-4a89-b513-a6afd656cc51</v>
      </c>
      <c r="N511" s="53"/>
    </row>
    <row r="512" spans="1:14" s="3" customFormat="1" ht="22.5">
      <c r="A512" s="9">
        <v>507</v>
      </c>
      <c r="B512" s="38" t="s">
        <v>241</v>
      </c>
      <c r="C512" s="41">
        <v>205</v>
      </c>
      <c r="D512" s="38" t="s">
        <v>9</v>
      </c>
      <c r="E512" s="38" t="s">
        <v>10</v>
      </c>
      <c r="F512" s="38">
        <v>42</v>
      </c>
      <c r="G512" s="38">
        <v>16</v>
      </c>
      <c r="H512" s="38">
        <v>10</v>
      </c>
      <c r="I512" s="38"/>
      <c r="J512" s="10" t="s">
        <v>25</v>
      </c>
      <c r="K512" s="10" t="s">
        <v>26</v>
      </c>
      <c r="L512" s="10" t="s">
        <v>57</v>
      </c>
      <c r="M512" s="38" t="str">
        <f>HYPERLINK("http://www.stromypodkontrolou.cz/map/tree/eb9fcfc1-f6fa-405f-85c7-690b2fb79ecd/72da2eb7-6e98-4a89-b513-a6afd656cc51")</f>
        <v>http://www.stromypodkontrolou.cz/map/tree/eb9fcfc1-f6fa-405f-85c7-690b2fb79ecd/72da2eb7-6e98-4a89-b513-a6afd656cc51</v>
      </c>
      <c r="N512" s="53"/>
    </row>
    <row r="513" spans="1:14" s="3" customFormat="1" ht="22.5">
      <c r="A513" s="9">
        <v>508</v>
      </c>
      <c r="B513" s="38" t="s">
        <v>241</v>
      </c>
      <c r="C513" s="41">
        <v>205</v>
      </c>
      <c r="D513" s="38" t="s">
        <v>9</v>
      </c>
      <c r="E513" s="38" t="s">
        <v>10</v>
      </c>
      <c r="F513" s="38">
        <v>42</v>
      </c>
      <c r="G513" s="38">
        <v>16</v>
      </c>
      <c r="H513" s="38">
        <v>10</v>
      </c>
      <c r="I513" s="38"/>
      <c r="J513" s="10" t="s">
        <v>19</v>
      </c>
      <c r="K513" s="10" t="s">
        <v>20</v>
      </c>
      <c r="L513" s="10"/>
      <c r="M513" s="38" t="str">
        <f>HYPERLINK("http://www.stromypodkontrolou.cz/map/tree/eb9fcfc1-f6fa-405f-85c7-690b2fb79ecd/72da2eb7-6e98-4a89-b513-a6afd656cc51")</f>
        <v>http://www.stromypodkontrolou.cz/map/tree/eb9fcfc1-f6fa-405f-85c7-690b2fb79ecd/72da2eb7-6e98-4a89-b513-a6afd656cc51</v>
      </c>
      <c r="N513" s="53"/>
    </row>
    <row r="514" spans="1:207" s="15" customFormat="1" ht="45">
      <c r="A514" s="12">
        <v>509</v>
      </c>
      <c r="B514" s="46" t="s">
        <v>241</v>
      </c>
      <c r="C514" s="47">
        <v>206</v>
      </c>
      <c r="D514" s="46" t="s">
        <v>9</v>
      </c>
      <c r="E514" s="46" t="s">
        <v>10</v>
      </c>
      <c r="F514" s="46">
        <v>41</v>
      </c>
      <c r="G514" s="46">
        <v>15</v>
      </c>
      <c r="H514" s="46">
        <v>8</v>
      </c>
      <c r="I514" s="46" t="s">
        <v>29</v>
      </c>
      <c r="J514" s="16" t="s">
        <v>12</v>
      </c>
      <c r="K514" s="16" t="s">
        <v>13</v>
      </c>
      <c r="L514" s="16" t="s">
        <v>81</v>
      </c>
      <c r="M514" s="46" t="str">
        <f>HYPERLINK("http://www.stromypodkontrolou.cz/map/tree/eb9fcfc1-f6fa-405f-85c7-690b2fb79ecd/20b5615c-58f1-4aed-ac72-bf25c5f1db63")</f>
        <v>http://www.stromypodkontrolou.cz/map/tree/eb9fcfc1-f6fa-405f-85c7-690b2fb79ecd/20b5615c-58f1-4aed-ac72-bf25c5f1db63</v>
      </c>
      <c r="N514" s="5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</row>
    <row r="515" spans="1:207" s="15" customFormat="1" ht="12.75">
      <c r="A515" s="12">
        <v>510</v>
      </c>
      <c r="B515" s="46" t="s">
        <v>241</v>
      </c>
      <c r="C515" s="47">
        <v>206</v>
      </c>
      <c r="D515" s="46" t="s">
        <v>9</v>
      </c>
      <c r="E515" s="46" t="s">
        <v>10</v>
      </c>
      <c r="F515" s="46">
        <v>41</v>
      </c>
      <c r="G515" s="46">
        <v>15</v>
      </c>
      <c r="H515" s="46">
        <v>8</v>
      </c>
      <c r="I515" s="46" t="s">
        <v>29</v>
      </c>
      <c r="J515" s="16" t="s">
        <v>14</v>
      </c>
      <c r="K515" s="16" t="s">
        <v>15</v>
      </c>
      <c r="L515" s="16"/>
      <c r="M515" s="46" t="str">
        <f>HYPERLINK("http://www.stromypodkontrolou.cz/map/tree/eb9fcfc1-f6fa-405f-85c7-690b2fb79ecd/20b5615c-58f1-4aed-ac72-bf25c5f1db63")</f>
        <v>http://www.stromypodkontrolou.cz/map/tree/eb9fcfc1-f6fa-405f-85c7-690b2fb79ecd/20b5615c-58f1-4aed-ac72-bf25c5f1db63</v>
      </c>
      <c r="N515" s="5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</row>
    <row r="516" spans="1:14" s="3" customFormat="1" ht="22.5">
      <c r="A516" s="9">
        <v>511</v>
      </c>
      <c r="B516" s="38" t="s">
        <v>248</v>
      </c>
      <c r="C516" s="41">
        <v>33</v>
      </c>
      <c r="D516" s="38" t="s">
        <v>9</v>
      </c>
      <c r="E516" s="38" t="s">
        <v>10</v>
      </c>
      <c r="F516" s="38">
        <v>30</v>
      </c>
      <c r="G516" s="38">
        <v>15</v>
      </c>
      <c r="H516" s="38">
        <v>9</v>
      </c>
      <c r="I516" s="38"/>
      <c r="J516" s="10" t="s">
        <v>19</v>
      </c>
      <c r="K516" s="10" t="s">
        <v>20</v>
      </c>
      <c r="L516" s="42"/>
      <c r="M516" s="38" t="str">
        <f>HYPERLINK("http://www.stromypodkontrolou.cz/map/tree/eb9fcfc1-f6fa-405f-85c7-690b2fb79ecd/c8d1c704-714c-40ac-9ee9-9e6235973091")</f>
        <v>http://www.stromypodkontrolou.cz/map/tree/eb9fcfc1-f6fa-405f-85c7-690b2fb79ecd/c8d1c704-714c-40ac-9ee9-9e6235973091</v>
      </c>
      <c r="N516" s="53"/>
    </row>
    <row r="517" spans="1:14" s="3" customFormat="1" ht="12.75">
      <c r="A517" s="9">
        <v>512</v>
      </c>
      <c r="B517" s="38" t="s">
        <v>248</v>
      </c>
      <c r="C517" s="41">
        <v>33</v>
      </c>
      <c r="D517" s="38" t="s">
        <v>9</v>
      </c>
      <c r="E517" s="38" t="s">
        <v>10</v>
      </c>
      <c r="F517" s="38">
        <v>30</v>
      </c>
      <c r="G517" s="38">
        <v>15</v>
      </c>
      <c r="H517" s="38">
        <v>9</v>
      </c>
      <c r="I517" s="38"/>
      <c r="J517" s="10" t="s">
        <v>14</v>
      </c>
      <c r="K517" s="10" t="s">
        <v>15</v>
      </c>
      <c r="L517" s="42"/>
      <c r="M517" s="38" t="str">
        <f>HYPERLINK("http://www.stromypodkontrolou.cz/map/tree/eb9fcfc1-f6fa-405f-85c7-690b2fb79ecd/c8d1c704-714c-40ac-9ee9-9e6235973091")</f>
        <v>http://www.stromypodkontrolou.cz/map/tree/eb9fcfc1-f6fa-405f-85c7-690b2fb79ecd/c8d1c704-714c-40ac-9ee9-9e6235973091</v>
      </c>
      <c r="N517" s="53"/>
    </row>
    <row r="518" spans="1:207" s="15" customFormat="1" ht="25.5" customHeight="1">
      <c r="A518" s="12">
        <v>513</v>
      </c>
      <c r="B518" s="46" t="s">
        <v>248</v>
      </c>
      <c r="C518" s="47">
        <v>37</v>
      </c>
      <c r="D518" s="46" t="s">
        <v>9</v>
      </c>
      <c r="E518" s="46" t="s">
        <v>10</v>
      </c>
      <c r="F518" s="46">
        <v>32</v>
      </c>
      <c r="G518" s="46">
        <v>18</v>
      </c>
      <c r="H518" s="46">
        <v>9</v>
      </c>
      <c r="I518" s="46" t="s">
        <v>23</v>
      </c>
      <c r="J518" s="16" t="s">
        <v>12</v>
      </c>
      <c r="K518" s="16" t="s">
        <v>13</v>
      </c>
      <c r="L518" s="16" t="s">
        <v>17</v>
      </c>
      <c r="M518" s="46" t="str">
        <f>HYPERLINK("http://www.stromypodkontrolou.cz/map/tree/eb9fcfc1-f6fa-405f-85c7-690b2fb79ecd/8fbbbd5f-c027-4d3d-b085-952e1d595ea1")</f>
        <v>http://www.stromypodkontrolou.cz/map/tree/eb9fcfc1-f6fa-405f-85c7-690b2fb79ecd/8fbbbd5f-c027-4d3d-b085-952e1d595ea1</v>
      </c>
      <c r="N518" s="5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</row>
    <row r="519" spans="1:207" s="15" customFormat="1" ht="12.75">
      <c r="A519" s="12">
        <v>514</v>
      </c>
      <c r="B519" s="46" t="s">
        <v>248</v>
      </c>
      <c r="C519" s="47">
        <v>37</v>
      </c>
      <c r="D519" s="46" t="s">
        <v>9</v>
      </c>
      <c r="E519" s="46" t="s">
        <v>10</v>
      </c>
      <c r="F519" s="46">
        <v>32</v>
      </c>
      <c r="G519" s="46">
        <v>18</v>
      </c>
      <c r="H519" s="46">
        <v>9</v>
      </c>
      <c r="I519" s="46" t="s">
        <v>23</v>
      </c>
      <c r="J519" s="16" t="s">
        <v>14</v>
      </c>
      <c r="K519" s="16" t="s">
        <v>15</v>
      </c>
      <c r="L519" s="16"/>
      <c r="M519" s="46" t="str">
        <f>HYPERLINK("http://www.stromypodkontrolou.cz/map/tree/eb9fcfc1-f6fa-405f-85c7-690b2fb79ecd/8fbbbd5f-c027-4d3d-b085-952e1d595ea1")</f>
        <v>http://www.stromypodkontrolou.cz/map/tree/eb9fcfc1-f6fa-405f-85c7-690b2fb79ecd/8fbbbd5f-c027-4d3d-b085-952e1d595ea1</v>
      </c>
      <c r="N519" s="5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</row>
    <row r="520" spans="1:14" s="3" customFormat="1" ht="45">
      <c r="A520" s="9">
        <v>515</v>
      </c>
      <c r="B520" s="10" t="s">
        <v>248</v>
      </c>
      <c r="C520" s="11">
        <v>38</v>
      </c>
      <c r="D520" s="10" t="s">
        <v>9</v>
      </c>
      <c r="E520" s="10" t="s">
        <v>10</v>
      </c>
      <c r="F520" s="10">
        <v>33</v>
      </c>
      <c r="G520" s="10">
        <v>14</v>
      </c>
      <c r="H520" s="10">
        <v>11</v>
      </c>
      <c r="I520" s="10" t="s">
        <v>247</v>
      </c>
      <c r="J520" s="10" t="s">
        <v>115</v>
      </c>
      <c r="K520" s="10" t="s">
        <v>116</v>
      </c>
      <c r="L520" s="10" t="s">
        <v>189</v>
      </c>
      <c r="M520" s="10" t="str">
        <f>HYPERLINK("http://www.stromypodkontrolou.cz/map/tree/eb9fcfc1-f6fa-405f-85c7-690b2fb79ecd/e81facf1-2b3a-4a98-ac8f-7814d1ca398a")</f>
        <v>http://www.stromypodkontrolou.cz/map/tree/eb9fcfc1-f6fa-405f-85c7-690b2fb79ecd/e81facf1-2b3a-4a98-ac8f-7814d1ca398a</v>
      </c>
      <c r="N520" s="53"/>
    </row>
    <row r="521" spans="1:207" s="15" customFormat="1" ht="12.75" customHeight="1">
      <c r="A521" s="12">
        <v>516</v>
      </c>
      <c r="B521" s="16" t="s">
        <v>248</v>
      </c>
      <c r="C521" s="14">
        <v>40</v>
      </c>
      <c r="D521" s="16" t="s">
        <v>9</v>
      </c>
      <c r="E521" s="16" t="s">
        <v>10</v>
      </c>
      <c r="F521" s="16">
        <v>23</v>
      </c>
      <c r="G521" s="16">
        <v>16</v>
      </c>
      <c r="H521" s="16">
        <v>10</v>
      </c>
      <c r="I521" s="16"/>
      <c r="J521" s="16" t="s">
        <v>14</v>
      </c>
      <c r="K521" s="16" t="s">
        <v>15</v>
      </c>
      <c r="L521" s="16"/>
      <c r="M521" s="16" t="str">
        <f>HYPERLINK("http://www.stromypodkontrolou.cz/map/tree/eb9fcfc1-f6fa-405f-85c7-690b2fb79ecd/39dc6a74-9b2d-4365-8455-c3b5d1f227f9")</f>
        <v>http://www.stromypodkontrolou.cz/map/tree/eb9fcfc1-f6fa-405f-85c7-690b2fb79ecd/39dc6a74-9b2d-4365-8455-c3b5d1f227f9</v>
      </c>
      <c r="N521" s="5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</row>
    <row r="522" spans="1:14" s="3" customFormat="1" ht="12.75">
      <c r="A522" s="9">
        <v>517</v>
      </c>
      <c r="B522" s="38" t="s">
        <v>248</v>
      </c>
      <c r="C522" s="41">
        <v>159</v>
      </c>
      <c r="D522" s="38" t="s">
        <v>9</v>
      </c>
      <c r="E522" s="38" t="s">
        <v>10</v>
      </c>
      <c r="F522" s="38">
        <v>31</v>
      </c>
      <c r="G522" s="38">
        <v>14</v>
      </c>
      <c r="H522" s="38">
        <v>11</v>
      </c>
      <c r="I522" s="38" t="s">
        <v>23</v>
      </c>
      <c r="J522" s="10" t="s">
        <v>14</v>
      </c>
      <c r="K522" s="10" t="s">
        <v>15</v>
      </c>
      <c r="L522" s="42"/>
      <c r="M522" s="38" t="str">
        <f>HYPERLINK("http://www.stromypodkontrolou.cz/map/tree/eb9fcfc1-f6fa-405f-85c7-690b2fb79ecd/bc89e9ff-bc38-4a66-8750-6e806190a531")</f>
        <v>http://www.stromypodkontrolou.cz/map/tree/eb9fcfc1-f6fa-405f-85c7-690b2fb79ecd/bc89e9ff-bc38-4a66-8750-6e806190a531</v>
      </c>
      <c r="N522" s="53"/>
    </row>
    <row r="523" spans="1:14" s="3" customFormat="1" ht="22.5">
      <c r="A523" s="9">
        <v>518</v>
      </c>
      <c r="B523" s="38" t="s">
        <v>248</v>
      </c>
      <c r="C523" s="41">
        <v>159</v>
      </c>
      <c r="D523" s="38" t="s">
        <v>9</v>
      </c>
      <c r="E523" s="38" t="s">
        <v>10</v>
      </c>
      <c r="F523" s="38">
        <v>31</v>
      </c>
      <c r="G523" s="38">
        <v>14</v>
      </c>
      <c r="H523" s="38">
        <v>11</v>
      </c>
      <c r="I523" s="38" t="s">
        <v>23</v>
      </c>
      <c r="J523" s="10" t="s">
        <v>12</v>
      </c>
      <c r="K523" s="10" t="s">
        <v>13</v>
      </c>
      <c r="L523" s="42"/>
      <c r="M523" s="38" t="str">
        <f>HYPERLINK("http://www.stromypodkontrolou.cz/map/tree/eb9fcfc1-f6fa-405f-85c7-690b2fb79ecd/bc89e9ff-bc38-4a66-8750-6e806190a531")</f>
        <v>http://www.stromypodkontrolou.cz/map/tree/eb9fcfc1-f6fa-405f-85c7-690b2fb79ecd/bc89e9ff-bc38-4a66-8750-6e806190a531</v>
      </c>
      <c r="N523" s="53"/>
    </row>
    <row r="524" spans="1:207" s="15" customFormat="1" ht="12.75">
      <c r="A524" s="12">
        <v>519</v>
      </c>
      <c r="B524" s="46" t="s">
        <v>248</v>
      </c>
      <c r="C524" s="47">
        <v>161</v>
      </c>
      <c r="D524" s="46" t="s">
        <v>9</v>
      </c>
      <c r="E524" s="46" t="s">
        <v>10</v>
      </c>
      <c r="F524" s="46">
        <v>33</v>
      </c>
      <c r="G524" s="46">
        <v>15</v>
      </c>
      <c r="H524" s="46">
        <v>14</v>
      </c>
      <c r="I524" s="46" t="s">
        <v>249</v>
      </c>
      <c r="J524" s="16" t="s">
        <v>14</v>
      </c>
      <c r="K524" s="16" t="s">
        <v>15</v>
      </c>
      <c r="L524" s="43"/>
      <c r="M524" s="46" t="str">
        <f>HYPERLINK("http://www.stromypodkontrolou.cz/map/tree/eb9fcfc1-f6fa-405f-85c7-690b2fb79ecd/30f47c83-0726-4c60-99fa-9907d953980c")</f>
        <v>http://www.stromypodkontrolou.cz/map/tree/eb9fcfc1-f6fa-405f-85c7-690b2fb79ecd/30f47c83-0726-4c60-99fa-9907d953980c</v>
      </c>
      <c r="N524" s="5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</row>
    <row r="525" spans="1:207" s="15" customFormat="1" ht="22.5">
      <c r="A525" s="12">
        <v>520</v>
      </c>
      <c r="B525" s="46" t="s">
        <v>248</v>
      </c>
      <c r="C525" s="47">
        <v>161</v>
      </c>
      <c r="D525" s="46" t="s">
        <v>9</v>
      </c>
      <c r="E525" s="46" t="s">
        <v>10</v>
      </c>
      <c r="F525" s="46">
        <v>33</v>
      </c>
      <c r="G525" s="46">
        <v>15</v>
      </c>
      <c r="H525" s="46">
        <v>14</v>
      </c>
      <c r="I525" s="46" t="s">
        <v>249</v>
      </c>
      <c r="J525" s="16" t="s">
        <v>12</v>
      </c>
      <c r="K525" s="16" t="s">
        <v>13</v>
      </c>
      <c r="L525" s="43"/>
      <c r="M525" s="46" t="str">
        <f>HYPERLINK("http://www.stromypodkontrolou.cz/map/tree/eb9fcfc1-f6fa-405f-85c7-690b2fb79ecd/30f47c83-0726-4c60-99fa-9907d953980c")</f>
        <v>http://www.stromypodkontrolou.cz/map/tree/eb9fcfc1-f6fa-405f-85c7-690b2fb79ecd/30f47c83-0726-4c60-99fa-9907d953980c</v>
      </c>
      <c r="N525" s="5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</row>
    <row r="526" spans="1:14" s="3" customFormat="1" ht="25.5" customHeight="1">
      <c r="A526" s="9">
        <v>521</v>
      </c>
      <c r="B526" s="38" t="s">
        <v>248</v>
      </c>
      <c r="C526" s="41">
        <v>163</v>
      </c>
      <c r="D526" s="38" t="s">
        <v>9</v>
      </c>
      <c r="E526" s="38" t="s">
        <v>10</v>
      </c>
      <c r="F526" s="38">
        <v>30</v>
      </c>
      <c r="G526" s="38">
        <v>16</v>
      </c>
      <c r="H526" s="38">
        <v>14</v>
      </c>
      <c r="I526" s="38" t="s">
        <v>23</v>
      </c>
      <c r="J526" s="10" t="s">
        <v>12</v>
      </c>
      <c r="K526" s="10" t="s">
        <v>13</v>
      </c>
      <c r="L526" s="10" t="s">
        <v>17</v>
      </c>
      <c r="M526" s="38" t="str">
        <f>HYPERLINK("http://www.stromypodkontrolou.cz/map/tree/eb9fcfc1-f6fa-405f-85c7-690b2fb79ecd/ff8a9a8d-b0af-4f44-9c74-4be6467f4deb")</f>
        <v>http://www.stromypodkontrolou.cz/map/tree/eb9fcfc1-f6fa-405f-85c7-690b2fb79ecd/ff8a9a8d-b0af-4f44-9c74-4be6467f4deb</v>
      </c>
      <c r="N526" s="53"/>
    </row>
    <row r="527" spans="1:14" s="3" customFormat="1" ht="12.75">
      <c r="A527" s="9">
        <v>522</v>
      </c>
      <c r="B527" s="38" t="s">
        <v>248</v>
      </c>
      <c r="C527" s="41">
        <v>163</v>
      </c>
      <c r="D527" s="38" t="s">
        <v>9</v>
      </c>
      <c r="E527" s="38" t="s">
        <v>10</v>
      </c>
      <c r="F527" s="38">
        <v>30</v>
      </c>
      <c r="G527" s="38">
        <v>16</v>
      </c>
      <c r="H527" s="38">
        <v>14</v>
      </c>
      <c r="I527" s="38" t="s">
        <v>23</v>
      </c>
      <c r="J527" s="10" t="s">
        <v>14</v>
      </c>
      <c r="K527" s="10" t="s">
        <v>15</v>
      </c>
      <c r="L527" s="10"/>
      <c r="M527" s="38" t="str">
        <f>HYPERLINK("http://www.stromypodkontrolou.cz/map/tree/eb9fcfc1-f6fa-405f-85c7-690b2fb79ecd/ff8a9a8d-b0af-4f44-9c74-4be6467f4deb")</f>
        <v>http://www.stromypodkontrolou.cz/map/tree/eb9fcfc1-f6fa-405f-85c7-690b2fb79ecd/ff8a9a8d-b0af-4f44-9c74-4be6467f4deb</v>
      </c>
      <c r="N527" s="53"/>
    </row>
    <row r="528" spans="1:207" s="15" customFormat="1" ht="12.75" customHeight="1">
      <c r="A528" s="12">
        <v>523</v>
      </c>
      <c r="B528" s="16" t="s">
        <v>248</v>
      </c>
      <c r="C528" s="14">
        <v>196</v>
      </c>
      <c r="D528" s="16" t="s">
        <v>27</v>
      </c>
      <c r="E528" s="16" t="s">
        <v>28</v>
      </c>
      <c r="F528" s="16">
        <v>44</v>
      </c>
      <c r="G528" s="16">
        <v>25</v>
      </c>
      <c r="H528" s="16">
        <v>9</v>
      </c>
      <c r="I528" s="16"/>
      <c r="J528" s="16" t="s">
        <v>14</v>
      </c>
      <c r="K528" s="16" t="s">
        <v>15</v>
      </c>
      <c r="L528" s="16"/>
      <c r="M528" s="16" t="str">
        <f>HYPERLINK("http://www.stromypodkontrolou.cz/map/tree/eb9fcfc1-f6fa-405f-85c7-690b2fb79ecd/10a8ffca-a570-4aa1-a07f-7a06bc52c5b6")</f>
        <v>http://www.stromypodkontrolou.cz/map/tree/eb9fcfc1-f6fa-405f-85c7-690b2fb79ecd/10a8ffca-a570-4aa1-a07f-7a06bc52c5b6</v>
      </c>
      <c r="N528" s="5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</row>
    <row r="529" spans="1:14" s="3" customFormat="1" ht="12.75" customHeight="1">
      <c r="A529" s="9">
        <v>524</v>
      </c>
      <c r="B529" s="10" t="s">
        <v>248</v>
      </c>
      <c r="C529" s="11">
        <v>234</v>
      </c>
      <c r="D529" s="10" t="s">
        <v>9</v>
      </c>
      <c r="E529" s="10" t="s">
        <v>10</v>
      </c>
      <c r="F529" s="10">
        <v>34</v>
      </c>
      <c r="G529" s="10">
        <v>18</v>
      </c>
      <c r="H529" s="10">
        <v>12</v>
      </c>
      <c r="I529" s="10"/>
      <c r="J529" s="10" t="s">
        <v>14</v>
      </c>
      <c r="K529" s="10" t="s">
        <v>15</v>
      </c>
      <c r="L529" s="10"/>
      <c r="M529" s="10" t="str">
        <f>HYPERLINK("http://www.stromypodkontrolou.cz/map/tree/eb9fcfc1-f6fa-405f-85c7-690b2fb79ecd/bcd6e012-b875-4df2-a39b-228fb3d2623e")</f>
        <v>http://www.stromypodkontrolou.cz/map/tree/eb9fcfc1-f6fa-405f-85c7-690b2fb79ecd/bcd6e012-b875-4df2-a39b-228fb3d2623e</v>
      </c>
      <c r="N529" s="53"/>
    </row>
    <row r="530" spans="1:207" s="15" customFormat="1" ht="45">
      <c r="A530" s="12">
        <v>525</v>
      </c>
      <c r="B530" s="16" t="s">
        <v>248</v>
      </c>
      <c r="C530" s="14">
        <v>237</v>
      </c>
      <c r="D530" s="16" t="s">
        <v>9</v>
      </c>
      <c r="E530" s="16" t="s">
        <v>10</v>
      </c>
      <c r="F530" s="16">
        <v>29</v>
      </c>
      <c r="G530" s="16">
        <v>17</v>
      </c>
      <c r="H530" s="16">
        <v>10</v>
      </c>
      <c r="I530" s="16"/>
      <c r="J530" s="16" t="s">
        <v>14</v>
      </c>
      <c r="K530" s="16" t="s">
        <v>15</v>
      </c>
      <c r="L530" s="16" t="s">
        <v>17</v>
      </c>
      <c r="M530" s="16" t="str">
        <f>HYPERLINK("http://www.stromypodkontrolou.cz/map/tree/eb9fcfc1-f6fa-405f-85c7-690b2fb79ecd/81e6eb62-2b6b-4767-86b2-b2f93e7c0d06")</f>
        <v>http://www.stromypodkontrolou.cz/map/tree/eb9fcfc1-f6fa-405f-85c7-690b2fb79ecd/81e6eb62-2b6b-4767-86b2-b2f93e7c0d06</v>
      </c>
      <c r="N530" s="5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</row>
    <row r="531" spans="1:14" s="3" customFormat="1" ht="45">
      <c r="A531" s="9">
        <v>526</v>
      </c>
      <c r="B531" s="10" t="s">
        <v>248</v>
      </c>
      <c r="C531" s="11">
        <v>259</v>
      </c>
      <c r="D531" s="10" t="s">
        <v>27</v>
      </c>
      <c r="E531" s="10" t="s">
        <v>28</v>
      </c>
      <c r="F531" s="10">
        <v>39</v>
      </c>
      <c r="G531" s="10">
        <v>22</v>
      </c>
      <c r="H531" s="10">
        <v>10</v>
      </c>
      <c r="I531" s="10"/>
      <c r="J531" s="10" t="s">
        <v>19</v>
      </c>
      <c r="K531" s="10" t="s">
        <v>20</v>
      </c>
      <c r="L531" s="10"/>
      <c r="M531" s="10" t="str">
        <f>HYPERLINK("http://www.stromypodkontrolou.cz/map/tree/eb9fcfc1-f6fa-405f-85c7-690b2fb79ecd/2f91ff2e-ee24-45cd-9fa0-f1f41795516f")</f>
        <v>http://www.stromypodkontrolou.cz/map/tree/eb9fcfc1-f6fa-405f-85c7-690b2fb79ecd/2f91ff2e-ee24-45cd-9fa0-f1f41795516f</v>
      </c>
      <c r="N531" s="53"/>
    </row>
    <row r="532" spans="1:207" s="15" customFormat="1" ht="45">
      <c r="A532" s="12">
        <v>527</v>
      </c>
      <c r="B532" s="16" t="s">
        <v>248</v>
      </c>
      <c r="C532" s="14">
        <v>260</v>
      </c>
      <c r="D532" s="16" t="s">
        <v>27</v>
      </c>
      <c r="E532" s="16" t="s">
        <v>28</v>
      </c>
      <c r="F532" s="16">
        <v>39</v>
      </c>
      <c r="G532" s="16">
        <v>23</v>
      </c>
      <c r="H532" s="16">
        <v>7</v>
      </c>
      <c r="I532" s="16" t="s">
        <v>234</v>
      </c>
      <c r="J532" s="16" t="s">
        <v>19</v>
      </c>
      <c r="K532" s="16" t="s">
        <v>20</v>
      </c>
      <c r="L532" s="16"/>
      <c r="M532" s="16" t="str">
        <f>HYPERLINK("http://www.stromypodkontrolou.cz/map/tree/eb9fcfc1-f6fa-405f-85c7-690b2fb79ecd/a36e8b69-fe2e-4e07-a2d9-41cae65bafce")</f>
        <v>http://www.stromypodkontrolou.cz/map/tree/eb9fcfc1-f6fa-405f-85c7-690b2fb79ecd/a36e8b69-fe2e-4e07-a2d9-41cae65bafce</v>
      </c>
      <c r="N532" s="5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</row>
    <row r="533" spans="1:14" s="3" customFormat="1" ht="12.75">
      <c r="A533" s="9">
        <v>528</v>
      </c>
      <c r="B533" s="38" t="s">
        <v>252</v>
      </c>
      <c r="C533" s="41">
        <v>25</v>
      </c>
      <c r="D533" s="38" t="s">
        <v>31</v>
      </c>
      <c r="E533" s="38" t="s">
        <v>32</v>
      </c>
      <c r="F533" s="38">
        <v>43</v>
      </c>
      <c r="G533" s="38">
        <v>17</v>
      </c>
      <c r="H533" s="38">
        <v>13</v>
      </c>
      <c r="I533" s="38" t="s">
        <v>253</v>
      </c>
      <c r="J533" s="10" t="s">
        <v>14</v>
      </c>
      <c r="K533" s="10" t="s">
        <v>15</v>
      </c>
      <c r="L533" s="10"/>
      <c r="M533" s="38" t="str">
        <f>HYPERLINK("http://www.stromypodkontrolou.cz/map/tree/eb9fcfc1-f6fa-405f-85c7-690b2fb79ecd/692c0b8e-6699-466c-88f3-6eb904bc5565")</f>
        <v>http://www.stromypodkontrolou.cz/map/tree/eb9fcfc1-f6fa-405f-85c7-690b2fb79ecd/692c0b8e-6699-466c-88f3-6eb904bc5565</v>
      </c>
      <c r="N533" s="53"/>
    </row>
    <row r="534" spans="1:14" s="3" customFormat="1" ht="26.25" customHeight="1">
      <c r="A534" s="9">
        <v>529</v>
      </c>
      <c r="B534" s="38" t="s">
        <v>252</v>
      </c>
      <c r="C534" s="41">
        <v>25</v>
      </c>
      <c r="D534" s="38" t="s">
        <v>31</v>
      </c>
      <c r="E534" s="38" t="s">
        <v>32</v>
      </c>
      <c r="F534" s="38">
        <v>43</v>
      </c>
      <c r="G534" s="38">
        <v>17</v>
      </c>
      <c r="H534" s="38">
        <v>13</v>
      </c>
      <c r="I534" s="38" t="s">
        <v>253</v>
      </c>
      <c r="J534" s="10" t="s">
        <v>12</v>
      </c>
      <c r="K534" s="10" t="s">
        <v>13</v>
      </c>
      <c r="L534" s="10" t="s">
        <v>22</v>
      </c>
      <c r="M534" s="38" t="str">
        <f>HYPERLINK("http://www.stromypodkontrolou.cz/map/tree/eb9fcfc1-f6fa-405f-85c7-690b2fb79ecd/692c0b8e-6699-466c-88f3-6eb904bc5565")</f>
        <v>http://www.stromypodkontrolou.cz/map/tree/eb9fcfc1-f6fa-405f-85c7-690b2fb79ecd/692c0b8e-6699-466c-88f3-6eb904bc5565</v>
      </c>
      <c r="N534" s="53"/>
    </row>
    <row r="535" spans="1:207" s="15" customFormat="1" ht="25.5" customHeight="1">
      <c r="A535" s="12">
        <v>530</v>
      </c>
      <c r="B535" s="46" t="s">
        <v>254</v>
      </c>
      <c r="C535" s="47">
        <v>27</v>
      </c>
      <c r="D535" s="46" t="s">
        <v>71</v>
      </c>
      <c r="E535" s="46" t="s">
        <v>72</v>
      </c>
      <c r="F535" s="46">
        <v>58</v>
      </c>
      <c r="G535" s="46">
        <v>17</v>
      </c>
      <c r="H535" s="46">
        <v>7</v>
      </c>
      <c r="I535" s="46" t="s">
        <v>255</v>
      </c>
      <c r="J535" s="16" t="s">
        <v>12</v>
      </c>
      <c r="K535" s="16" t="s">
        <v>13</v>
      </c>
      <c r="L535" s="16" t="s">
        <v>17</v>
      </c>
      <c r="M535" s="46" t="str">
        <f>HYPERLINK("http://www.stromypodkontrolou.cz/map/tree/eb9fcfc1-f6fa-405f-85c7-690b2fb79ecd/d7fe4298-e34a-447d-8569-f874be90c312")</f>
        <v>http://www.stromypodkontrolou.cz/map/tree/eb9fcfc1-f6fa-405f-85c7-690b2fb79ecd/d7fe4298-e34a-447d-8569-f874be90c312</v>
      </c>
      <c r="N535" s="5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</row>
    <row r="536" spans="1:207" s="15" customFormat="1" ht="12.75">
      <c r="A536" s="12">
        <v>531</v>
      </c>
      <c r="B536" s="46" t="s">
        <v>254</v>
      </c>
      <c r="C536" s="47">
        <v>27</v>
      </c>
      <c r="D536" s="46" t="s">
        <v>71</v>
      </c>
      <c r="E536" s="46" t="s">
        <v>72</v>
      </c>
      <c r="F536" s="46">
        <v>58</v>
      </c>
      <c r="G536" s="46">
        <v>17</v>
      </c>
      <c r="H536" s="46">
        <v>7</v>
      </c>
      <c r="I536" s="46" t="s">
        <v>255</v>
      </c>
      <c r="J536" s="16" t="s">
        <v>14</v>
      </c>
      <c r="K536" s="16" t="s">
        <v>15</v>
      </c>
      <c r="L536" s="16"/>
      <c r="M536" s="46" t="str">
        <f>HYPERLINK("http://www.stromypodkontrolou.cz/map/tree/eb9fcfc1-f6fa-405f-85c7-690b2fb79ecd/d7fe4298-e34a-447d-8569-f874be90c312")</f>
        <v>http://www.stromypodkontrolou.cz/map/tree/eb9fcfc1-f6fa-405f-85c7-690b2fb79ecd/d7fe4298-e34a-447d-8569-f874be90c312</v>
      </c>
      <c r="N536" s="5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</row>
    <row r="537" spans="1:14" s="3" customFormat="1" ht="25.5" customHeight="1">
      <c r="A537" s="9">
        <v>532</v>
      </c>
      <c r="B537" s="38" t="s">
        <v>254</v>
      </c>
      <c r="C537" s="41">
        <v>33</v>
      </c>
      <c r="D537" s="38" t="s">
        <v>9</v>
      </c>
      <c r="E537" s="38" t="s">
        <v>10</v>
      </c>
      <c r="F537" s="38">
        <v>25</v>
      </c>
      <c r="G537" s="38">
        <v>15</v>
      </c>
      <c r="H537" s="38">
        <v>4</v>
      </c>
      <c r="I537" s="38" t="s">
        <v>23</v>
      </c>
      <c r="J537" s="10" t="s">
        <v>12</v>
      </c>
      <c r="K537" s="10" t="s">
        <v>13</v>
      </c>
      <c r="L537" s="10" t="s">
        <v>17</v>
      </c>
      <c r="M537" s="38" t="str">
        <f>HYPERLINK("http://www.stromypodkontrolou.cz/map/tree/eb9fcfc1-f6fa-405f-85c7-690b2fb79ecd/7f2d6ff1-2ea6-4f77-8ca3-c485c8d24fa3")</f>
        <v>http://www.stromypodkontrolou.cz/map/tree/eb9fcfc1-f6fa-405f-85c7-690b2fb79ecd/7f2d6ff1-2ea6-4f77-8ca3-c485c8d24fa3</v>
      </c>
      <c r="N537" s="53"/>
    </row>
    <row r="538" spans="1:14" s="3" customFormat="1" ht="12.75">
      <c r="A538" s="9">
        <v>533</v>
      </c>
      <c r="B538" s="38" t="s">
        <v>254</v>
      </c>
      <c r="C538" s="41">
        <v>33</v>
      </c>
      <c r="D538" s="38" t="s">
        <v>9</v>
      </c>
      <c r="E538" s="38" t="s">
        <v>10</v>
      </c>
      <c r="F538" s="38">
        <v>25</v>
      </c>
      <c r="G538" s="38">
        <v>15</v>
      </c>
      <c r="H538" s="38">
        <v>4</v>
      </c>
      <c r="I538" s="38" t="s">
        <v>23</v>
      </c>
      <c r="J538" s="10" t="s">
        <v>14</v>
      </c>
      <c r="K538" s="10" t="s">
        <v>15</v>
      </c>
      <c r="L538" s="10"/>
      <c r="M538" s="38" t="str">
        <f>HYPERLINK("http://www.stromypodkontrolou.cz/map/tree/eb9fcfc1-f6fa-405f-85c7-690b2fb79ecd/7f2d6ff1-2ea6-4f77-8ca3-c485c8d24fa3")</f>
        <v>http://www.stromypodkontrolou.cz/map/tree/eb9fcfc1-f6fa-405f-85c7-690b2fb79ecd/7f2d6ff1-2ea6-4f77-8ca3-c485c8d24fa3</v>
      </c>
      <c r="N538" s="53"/>
    </row>
    <row r="539" spans="1:207" s="15" customFormat="1" ht="25.5" customHeight="1">
      <c r="A539" s="12">
        <v>534</v>
      </c>
      <c r="B539" s="46" t="s">
        <v>254</v>
      </c>
      <c r="C539" s="47">
        <v>34</v>
      </c>
      <c r="D539" s="46" t="s">
        <v>9</v>
      </c>
      <c r="E539" s="46" t="s">
        <v>10</v>
      </c>
      <c r="F539" s="46">
        <v>31</v>
      </c>
      <c r="G539" s="46">
        <v>17</v>
      </c>
      <c r="H539" s="46">
        <v>6</v>
      </c>
      <c r="I539" s="46" t="s">
        <v>23</v>
      </c>
      <c r="J539" s="16" t="s">
        <v>12</v>
      </c>
      <c r="K539" s="16" t="s">
        <v>13</v>
      </c>
      <c r="L539" s="16" t="s">
        <v>17</v>
      </c>
      <c r="M539" s="46" t="str">
        <f>HYPERLINK("http://www.stromypodkontrolou.cz/map/tree/eb9fcfc1-f6fa-405f-85c7-690b2fb79ecd/2712417a-bd43-4ff9-9d9d-4baf096c11f5")</f>
        <v>http://www.stromypodkontrolou.cz/map/tree/eb9fcfc1-f6fa-405f-85c7-690b2fb79ecd/2712417a-bd43-4ff9-9d9d-4baf096c11f5</v>
      </c>
      <c r="N539" s="5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</row>
    <row r="540" spans="1:207" s="15" customFormat="1" ht="12.75">
      <c r="A540" s="12">
        <v>535</v>
      </c>
      <c r="B540" s="46" t="s">
        <v>254</v>
      </c>
      <c r="C540" s="47">
        <v>34</v>
      </c>
      <c r="D540" s="46" t="s">
        <v>9</v>
      </c>
      <c r="E540" s="46" t="s">
        <v>10</v>
      </c>
      <c r="F540" s="46">
        <v>31</v>
      </c>
      <c r="G540" s="46">
        <v>17</v>
      </c>
      <c r="H540" s="46">
        <v>6</v>
      </c>
      <c r="I540" s="46" t="s">
        <v>23</v>
      </c>
      <c r="J540" s="16" t="s">
        <v>14</v>
      </c>
      <c r="K540" s="16" t="s">
        <v>15</v>
      </c>
      <c r="L540" s="16"/>
      <c r="M540" s="46" t="str">
        <f>HYPERLINK("http://www.stromypodkontrolou.cz/map/tree/eb9fcfc1-f6fa-405f-85c7-690b2fb79ecd/2712417a-bd43-4ff9-9d9d-4baf096c11f5")</f>
        <v>http://www.stromypodkontrolou.cz/map/tree/eb9fcfc1-f6fa-405f-85c7-690b2fb79ecd/2712417a-bd43-4ff9-9d9d-4baf096c11f5</v>
      </c>
      <c r="N540" s="5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</row>
    <row r="541" spans="1:14" s="3" customFormat="1" ht="12.75">
      <c r="A541" s="9">
        <v>536</v>
      </c>
      <c r="B541" s="38" t="s">
        <v>254</v>
      </c>
      <c r="C541" s="41">
        <v>35</v>
      </c>
      <c r="D541" s="38" t="s">
        <v>9</v>
      </c>
      <c r="E541" s="38" t="s">
        <v>10</v>
      </c>
      <c r="F541" s="38">
        <v>34</v>
      </c>
      <c r="G541" s="38">
        <v>17</v>
      </c>
      <c r="H541" s="38">
        <v>6</v>
      </c>
      <c r="I541" s="38" t="s">
        <v>23</v>
      </c>
      <c r="J541" s="10" t="s">
        <v>14</v>
      </c>
      <c r="K541" s="10" t="s">
        <v>15</v>
      </c>
      <c r="L541" s="10"/>
      <c r="M541" s="38" t="str">
        <f>HYPERLINK("http://www.stromypodkontrolou.cz/map/tree/eb9fcfc1-f6fa-405f-85c7-690b2fb79ecd/253057bb-26db-4bb2-8579-ea400c0286e1")</f>
        <v>http://www.stromypodkontrolou.cz/map/tree/eb9fcfc1-f6fa-405f-85c7-690b2fb79ecd/253057bb-26db-4bb2-8579-ea400c0286e1</v>
      </c>
      <c r="N541" s="53"/>
    </row>
    <row r="542" spans="1:14" s="3" customFormat="1" ht="25.5" customHeight="1">
      <c r="A542" s="9">
        <v>537</v>
      </c>
      <c r="B542" s="38" t="s">
        <v>254</v>
      </c>
      <c r="C542" s="41">
        <v>35</v>
      </c>
      <c r="D542" s="38" t="s">
        <v>9</v>
      </c>
      <c r="E542" s="38" t="s">
        <v>10</v>
      </c>
      <c r="F542" s="38">
        <v>34</v>
      </c>
      <c r="G542" s="38">
        <v>17</v>
      </c>
      <c r="H542" s="38">
        <v>6</v>
      </c>
      <c r="I542" s="38" t="s">
        <v>23</v>
      </c>
      <c r="J542" s="10" t="s">
        <v>12</v>
      </c>
      <c r="K542" s="10" t="s">
        <v>13</v>
      </c>
      <c r="L542" s="10" t="s">
        <v>17</v>
      </c>
      <c r="M542" s="38" t="str">
        <f>HYPERLINK("http://www.stromypodkontrolou.cz/map/tree/eb9fcfc1-f6fa-405f-85c7-690b2fb79ecd/253057bb-26db-4bb2-8579-ea400c0286e1")</f>
        <v>http://www.stromypodkontrolou.cz/map/tree/eb9fcfc1-f6fa-405f-85c7-690b2fb79ecd/253057bb-26db-4bb2-8579-ea400c0286e1</v>
      </c>
      <c r="N542" s="53"/>
    </row>
    <row r="543" spans="1:207" s="15" customFormat="1" ht="25.5" customHeight="1">
      <c r="A543" s="12">
        <v>538</v>
      </c>
      <c r="B543" s="46" t="s">
        <v>254</v>
      </c>
      <c r="C543" s="47">
        <v>89</v>
      </c>
      <c r="D543" s="46" t="s">
        <v>9</v>
      </c>
      <c r="E543" s="46" t="s">
        <v>10</v>
      </c>
      <c r="F543" s="46">
        <v>29</v>
      </c>
      <c r="G543" s="46">
        <v>12</v>
      </c>
      <c r="H543" s="46">
        <v>6</v>
      </c>
      <c r="I543" s="46" t="s">
        <v>23</v>
      </c>
      <c r="J543" s="16" t="s">
        <v>12</v>
      </c>
      <c r="K543" s="16" t="s">
        <v>13</v>
      </c>
      <c r="L543" s="16" t="s">
        <v>17</v>
      </c>
      <c r="M543" s="46" t="str">
        <f>HYPERLINK("http://www.stromypodkontrolou.cz/map/tree/eb9fcfc1-f6fa-405f-85c7-690b2fb79ecd/66ecfa66-13a7-430d-b29f-a4e4136f757d")</f>
        <v>http://www.stromypodkontrolou.cz/map/tree/eb9fcfc1-f6fa-405f-85c7-690b2fb79ecd/66ecfa66-13a7-430d-b29f-a4e4136f757d</v>
      </c>
      <c r="N543" s="5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</row>
    <row r="544" spans="1:207" s="15" customFormat="1" ht="12.75">
      <c r="A544" s="12">
        <v>539</v>
      </c>
      <c r="B544" s="46" t="s">
        <v>254</v>
      </c>
      <c r="C544" s="47">
        <v>89</v>
      </c>
      <c r="D544" s="46" t="s">
        <v>9</v>
      </c>
      <c r="E544" s="46" t="s">
        <v>10</v>
      </c>
      <c r="F544" s="46">
        <v>29</v>
      </c>
      <c r="G544" s="46">
        <v>12</v>
      </c>
      <c r="H544" s="46">
        <v>6</v>
      </c>
      <c r="I544" s="46" t="s">
        <v>23</v>
      </c>
      <c r="J544" s="16" t="s">
        <v>14</v>
      </c>
      <c r="K544" s="16" t="s">
        <v>15</v>
      </c>
      <c r="L544" s="16"/>
      <c r="M544" s="46" t="str">
        <f>HYPERLINK("http://www.stromypodkontrolou.cz/map/tree/eb9fcfc1-f6fa-405f-85c7-690b2fb79ecd/66ecfa66-13a7-430d-b29f-a4e4136f757d")</f>
        <v>http://www.stromypodkontrolou.cz/map/tree/eb9fcfc1-f6fa-405f-85c7-690b2fb79ecd/66ecfa66-13a7-430d-b29f-a4e4136f757d</v>
      </c>
      <c r="N544" s="5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</row>
    <row r="545" spans="1:14" s="3" customFormat="1" ht="12.75">
      <c r="A545" s="9">
        <v>540</v>
      </c>
      <c r="B545" s="38" t="s">
        <v>254</v>
      </c>
      <c r="C545" s="41">
        <v>90</v>
      </c>
      <c r="D545" s="38" t="s">
        <v>9</v>
      </c>
      <c r="E545" s="38" t="s">
        <v>10</v>
      </c>
      <c r="F545" s="38">
        <v>28</v>
      </c>
      <c r="G545" s="38">
        <v>12</v>
      </c>
      <c r="H545" s="38">
        <v>6</v>
      </c>
      <c r="I545" s="38" t="s">
        <v>23</v>
      </c>
      <c r="J545" s="10" t="s">
        <v>14</v>
      </c>
      <c r="K545" s="10" t="s">
        <v>15</v>
      </c>
      <c r="L545" s="10"/>
      <c r="M545" s="38" t="str">
        <f>HYPERLINK("http://www.stromypodkontrolou.cz/map/tree/eb9fcfc1-f6fa-405f-85c7-690b2fb79ecd/58ec19ae-9c79-4737-9eaf-0c014e5f85f2")</f>
        <v>http://www.stromypodkontrolou.cz/map/tree/eb9fcfc1-f6fa-405f-85c7-690b2fb79ecd/58ec19ae-9c79-4737-9eaf-0c014e5f85f2</v>
      </c>
      <c r="N545" s="53"/>
    </row>
    <row r="546" spans="1:14" s="3" customFormat="1" ht="25.5" customHeight="1">
      <c r="A546" s="9">
        <v>541</v>
      </c>
      <c r="B546" s="38" t="s">
        <v>254</v>
      </c>
      <c r="C546" s="41">
        <v>90</v>
      </c>
      <c r="D546" s="38" t="s">
        <v>9</v>
      </c>
      <c r="E546" s="38" t="s">
        <v>10</v>
      </c>
      <c r="F546" s="38">
        <v>28</v>
      </c>
      <c r="G546" s="38">
        <v>12</v>
      </c>
      <c r="H546" s="38">
        <v>6</v>
      </c>
      <c r="I546" s="38" t="s">
        <v>23</v>
      </c>
      <c r="J546" s="10" t="s">
        <v>12</v>
      </c>
      <c r="K546" s="10" t="s">
        <v>13</v>
      </c>
      <c r="L546" s="10" t="s">
        <v>17</v>
      </c>
      <c r="M546" s="38" t="str">
        <f>HYPERLINK("http://www.stromypodkontrolou.cz/map/tree/eb9fcfc1-f6fa-405f-85c7-690b2fb79ecd/58ec19ae-9c79-4737-9eaf-0c014e5f85f2")</f>
        <v>http://www.stromypodkontrolou.cz/map/tree/eb9fcfc1-f6fa-405f-85c7-690b2fb79ecd/58ec19ae-9c79-4737-9eaf-0c014e5f85f2</v>
      </c>
      <c r="N546" s="53"/>
    </row>
    <row r="547" spans="1:207" s="15" customFormat="1" ht="45">
      <c r="A547" s="12">
        <v>542</v>
      </c>
      <c r="B547" s="16" t="s">
        <v>254</v>
      </c>
      <c r="C547" s="14">
        <v>99</v>
      </c>
      <c r="D547" s="16" t="s">
        <v>9</v>
      </c>
      <c r="E547" s="16" t="s">
        <v>10</v>
      </c>
      <c r="F547" s="16">
        <v>26</v>
      </c>
      <c r="G547" s="16">
        <v>10</v>
      </c>
      <c r="H547" s="16">
        <v>7</v>
      </c>
      <c r="I547" s="16" t="s">
        <v>18</v>
      </c>
      <c r="J547" s="16" t="s">
        <v>14</v>
      </c>
      <c r="K547" s="16" t="s">
        <v>15</v>
      </c>
      <c r="L547" s="16" t="s">
        <v>17</v>
      </c>
      <c r="M547" s="16" t="str">
        <f>HYPERLINK("http://www.stromypodkontrolou.cz/map/tree/eb9fcfc1-f6fa-405f-85c7-690b2fb79ecd/7207197d-8e40-4b08-a339-49bc2cd63d53")</f>
        <v>http://www.stromypodkontrolou.cz/map/tree/eb9fcfc1-f6fa-405f-85c7-690b2fb79ecd/7207197d-8e40-4b08-a339-49bc2cd63d53</v>
      </c>
      <c r="N547" s="5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</row>
    <row r="548" spans="1:14" s="3" customFormat="1" ht="25.5" customHeight="1">
      <c r="A548" s="9">
        <v>543</v>
      </c>
      <c r="B548" s="38" t="s">
        <v>254</v>
      </c>
      <c r="C548" s="41">
        <v>146</v>
      </c>
      <c r="D548" s="38" t="s">
        <v>9</v>
      </c>
      <c r="E548" s="38" t="s">
        <v>10</v>
      </c>
      <c r="F548" s="38">
        <v>25</v>
      </c>
      <c r="G548" s="38">
        <v>15</v>
      </c>
      <c r="H548" s="38">
        <v>8</v>
      </c>
      <c r="I548" s="38" t="s">
        <v>18</v>
      </c>
      <c r="J548" s="10" t="s">
        <v>14</v>
      </c>
      <c r="K548" s="10" t="s">
        <v>15</v>
      </c>
      <c r="L548" s="10" t="s">
        <v>17</v>
      </c>
      <c r="M548" s="38" t="str">
        <f>HYPERLINK("http://www.stromypodkontrolou.cz/map/tree/eb9fcfc1-f6fa-405f-85c7-690b2fb79ecd/28241952-21c6-4510-adbe-96ac636cfde0")</f>
        <v>http://www.stromypodkontrolou.cz/map/tree/eb9fcfc1-f6fa-405f-85c7-690b2fb79ecd/28241952-21c6-4510-adbe-96ac636cfde0</v>
      </c>
      <c r="N548" s="53"/>
    </row>
    <row r="549" spans="1:14" s="3" customFormat="1" ht="22.5">
      <c r="A549" s="9">
        <v>544</v>
      </c>
      <c r="B549" s="38" t="s">
        <v>254</v>
      </c>
      <c r="C549" s="41">
        <v>146</v>
      </c>
      <c r="D549" s="38" t="s">
        <v>9</v>
      </c>
      <c r="E549" s="38" t="s">
        <v>10</v>
      </c>
      <c r="F549" s="38">
        <v>25</v>
      </c>
      <c r="G549" s="38">
        <v>15</v>
      </c>
      <c r="H549" s="38">
        <v>8</v>
      </c>
      <c r="I549" s="38" t="s">
        <v>18</v>
      </c>
      <c r="J549" s="10" t="s">
        <v>12</v>
      </c>
      <c r="K549" s="10" t="s">
        <v>13</v>
      </c>
      <c r="L549" s="10"/>
      <c r="M549" s="38" t="str">
        <f>HYPERLINK("http://www.stromypodkontrolou.cz/map/tree/eb9fcfc1-f6fa-405f-85c7-690b2fb79ecd/28241952-21c6-4510-adbe-96ac636cfde0")</f>
        <v>http://www.stromypodkontrolou.cz/map/tree/eb9fcfc1-f6fa-405f-85c7-690b2fb79ecd/28241952-21c6-4510-adbe-96ac636cfde0</v>
      </c>
      <c r="N549" s="53"/>
    </row>
    <row r="550" spans="1:207" s="15" customFormat="1" ht="45">
      <c r="A550" s="12">
        <v>545</v>
      </c>
      <c r="B550" s="16" t="s">
        <v>256</v>
      </c>
      <c r="C550" s="14">
        <v>2</v>
      </c>
      <c r="D550" s="16" t="s">
        <v>89</v>
      </c>
      <c r="E550" s="16" t="s">
        <v>90</v>
      </c>
      <c r="F550" s="16">
        <v>77</v>
      </c>
      <c r="G550" s="16">
        <v>21</v>
      </c>
      <c r="H550" s="16">
        <v>11</v>
      </c>
      <c r="I550" s="16" t="s">
        <v>231</v>
      </c>
      <c r="J550" s="16" t="s">
        <v>115</v>
      </c>
      <c r="K550" s="16" t="s">
        <v>116</v>
      </c>
      <c r="L550" s="16" t="s">
        <v>299</v>
      </c>
      <c r="M550" s="16" t="s">
        <v>300</v>
      </c>
      <c r="N550" s="5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</row>
    <row r="551" spans="1:14" s="3" customFormat="1" ht="22.5">
      <c r="A551" s="9">
        <v>546</v>
      </c>
      <c r="B551" s="38" t="s">
        <v>257</v>
      </c>
      <c r="C551" s="41">
        <v>49</v>
      </c>
      <c r="D551" s="38" t="s">
        <v>9</v>
      </c>
      <c r="E551" s="38" t="s">
        <v>10</v>
      </c>
      <c r="F551" s="38">
        <v>29</v>
      </c>
      <c r="G551" s="38">
        <v>15</v>
      </c>
      <c r="H551" s="38">
        <v>11</v>
      </c>
      <c r="I551" s="38"/>
      <c r="J551" s="10" t="s">
        <v>19</v>
      </c>
      <c r="K551" s="10" t="s">
        <v>20</v>
      </c>
      <c r="L551" s="42"/>
      <c r="M551" s="38" t="str">
        <f>HYPERLINK("http://www.stromypodkontrolou.cz/map/tree/eb9fcfc1-f6fa-405f-85c7-690b2fb79ecd/ec185ea3-60bb-4e81-bafe-8a81d85305d5")</f>
        <v>http://www.stromypodkontrolou.cz/map/tree/eb9fcfc1-f6fa-405f-85c7-690b2fb79ecd/ec185ea3-60bb-4e81-bafe-8a81d85305d5</v>
      </c>
      <c r="N551" s="53"/>
    </row>
    <row r="552" spans="1:14" s="3" customFormat="1" ht="12.75">
      <c r="A552" s="9">
        <v>547</v>
      </c>
      <c r="B552" s="38"/>
      <c r="C552" s="41"/>
      <c r="D552" s="38"/>
      <c r="E552" s="38"/>
      <c r="F552" s="38"/>
      <c r="G552" s="38"/>
      <c r="H552" s="38"/>
      <c r="I552" s="38"/>
      <c r="J552" s="10" t="s">
        <v>14</v>
      </c>
      <c r="K552" s="10" t="s">
        <v>15</v>
      </c>
      <c r="L552" s="42"/>
      <c r="M552" s="38"/>
      <c r="N552" s="53"/>
    </row>
    <row r="553" spans="1:207" s="15" customFormat="1" ht="12.75">
      <c r="A553" s="12">
        <v>548</v>
      </c>
      <c r="B553" s="46" t="s">
        <v>257</v>
      </c>
      <c r="C553" s="47">
        <v>50</v>
      </c>
      <c r="D553" s="46" t="s">
        <v>9</v>
      </c>
      <c r="E553" s="46" t="s">
        <v>10</v>
      </c>
      <c r="F553" s="46">
        <v>28</v>
      </c>
      <c r="G553" s="46">
        <v>13</v>
      </c>
      <c r="H553" s="46">
        <v>10</v>
      </c>
      <c r="I553" s="46"/>
      <c r="J553" s="16" t="s">
        <v>14</v>
      </c>
      <c r="K553" s="16" t="s">
        <v>15</v>
      </c>
      <c r="L553" s="43"/>
      <c r="M553" s="46" t="s">
        <v>282</v>
      </c>
      <c r="N553" s="5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</row>
    <row r="554" spans="1:207" s="15" customFormat="1" ht="22.5">
      <c r="A554" s="12">
        <v>549</v>
      </c>
      <c r="B554" s="46"/>
      <c r="C554" s="47"/>
      <c r="D554" s="46"/>
      <c r="E554" s="46"/>
      <c r="F554" s="46"/>
      <c r="G554" s="46"/>
      <c r="H554" s="46"/>
      <c r="I554" s="46"/>
      <c r="J554" s="16" t="s">
        <v>19</v>
      </c>
      <c r="K554" s="16" t="s">
        <v>20</v>
      </c>
      <c r="L554" s="43"/>
      <c r="M554" s="46"/>
      <c r="N554" s="5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</row>
    <row r="555" spans="1:14" s="3" customFormat="1" ht="25.5" customHeight="1">
      <c r="A555" s="9">
        <v>550</v>
      </c>
      <c r="B555" s="38" t="s">
        <v>257</v>
      </c>
      <c r="C555" s="41">
        <v>55</v>
      </c>
      <c r="D555" s="38" t="s">
        <v>9</v>
      </c>
      <c r="E555" s="38" t="s">
        <v>10</v>
      </c>
      <c r="F555" s="38">
        <v>35</v>
      </c>
      <c r="G555" s="38">
        <v>15</v>
      </c>
      <c r="H555" s="38">
        <v>10</v>
      </c>
      <c r="I555" s="38" t="s">
        <v>18</v>
      </c>
      <c r="J555" s="10" t="s">
        <v>12</v>
      </c>
      <c r="K555" s="10" t="s">
        <v>13</v>
      </c>
      <c r="L555" s="10" t="s">
        <v>17</v>
      </c>
      <c r="M555" s="38" t="str">
        <f>HYPERLINK("http://www.stromypodkontrolou.cz/map/tree/eb9fcfc1-f6fa-405f-85c7-690b2fb79ecd/dbac1c8a-7fd9-401c-8795-04aa6444ee52")</f>
        <v>http://www.stromypodkontrolou.cz/map/tree/eb9fcfc1-f6fa-405f-85c7-690b2fb79ecd/dbac1c8a-7fd9-401c-8795-04aa6444ee52</v>
      </c>
      <c r="N555" s="53"/>
    </row>
    <row r="556" spans="1:14" s="3" customFormat="1" ht="22.5">
      <c r="A556" s="9">
        <v>551</v>
      </c>
      <c r="B556" s="38"/>
      <c r="C556" s="41"/>
      <c r="D556" s="38"/>
      <c r="E556" s="38"/>
      <c r="F556" s="38"/>
      <c r="G556" s="38"/>
      <c r="H556" s="38"/>
      <c r="I556" s="38"/>
      <c r="J556" s="10" t="s">
        <v>19</v>
      </c>
      <c r="K556" s="10" t="s">
        <v>20</v>
      </c>
      <c r="L556" s="42"/>
      <c r="M556" s="38"/>
      <c r="N556" s="53"/>
    </row>
    <row r="557" spans="1:14" s="3" customFormat="1" ht="15.75" customHeight="1">
      <c r="A557" s="9">
        <v>552</v>
      </c>
      <c r="B557" s="38" t="s">
        <v>257</v>
      </c>
      <c r="C557" s="41">
        <v>55</v>
      </c>
      <c r="D557" s="38" t="s">
        <v>9</v>
      </c>
      <c r="E557" s="38" t="s">
        <v>10</v>
      </c>
      <c r="F557" s="38">
        <v>35</v>
      </c>
      <c r="G557" s="38">
        <v>15</v>
      </c>
      <c r="H557" s="38">
        <v>10</v>
      </c>
      <c r="I557" s="38" t="s">
        <v>18</v>
      </c>
      <c r="J557" s="10" t="s">
        <v>14</v>
      </c>
      <c r="K557" s="10" t="s">
        <v>15</v>
      </c>
      <c r="L557" s="42"/>
      <c r="M557" s="38" t="str">
        <f>HYPERLINK("http://www.stromypodkontrolou.cz/map/tree/eb9fcfc1-f6fa-405f-85c7-690b2fb79ecd/dbac1c8a-7fd9-401c-8795-04aa6444ee52")</f>
        <v>http://www.stromypodkontrolou.cz/map/tree/eb9fcfc1-f6fa-405f-85c7-690b2fb79ecd/dbac1c8a-7fd9-401c-8795-04aa6444ee52</v>
      </c>
      <c r="N557" s="53"/>
    </row>
    <row r="558" spans="1:207" s="15" customFormat="1" ht="12.75">
      <c r="A558" s="12">
        <v>553</v>
      </c>
      <c r="B558" s="46" t="s">
        <v>257</v>
      </c>
      <c r="C558" s="47">
        <v>56</v>
      </c>
      <c r="D558" s="46" t="s">
        <v>9</v>
      </c>
      <c r="E558" s="46" t="s">
        <v>10</v>
      </c>
      <c r="F558" s="46">
        <v>38</v>
      </c>
      <c r="G558" s="46">
        <v>14</v>
      </c>
      <c r="H558" s="46">
        <v>11</v>
      </c>
      <c r="I558" s="46" t="s">
        <v>126</v>
      </c>
      <c r="J558" s="16" t="s">
        <v>14</v>
      </c>
      <c r="K558" s="16" t="s">
        <v>15</v>
      </c>
      <c r="L558" s="43"/>
      <c r="M558" s="46" t="str">
        <f>HYPERLINK("http://www.stromypodkontrolou.cz/map/tree/eb9fcfc1-f6fa-405f-85c7-690b2fb79ecd/4d4e86d1-2837-44be-be29-f7cd38e337a6")</f>
        <v>http://www.stromypodkontrolou.cz/map/tree/eb9fcfc1-f6fa-405f-85c7-690b2fb79ecd/4d4e86d1-2837-44be-be29-f7cd38e337a6</v>
      </c>
      <c r="N558" s="5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</row>
    <row r="559" spans="1:207" s="15" customFormat="1" ht="22.5">
      <c r="A559" s="12">
        <v>554</v>
      </c>
      <c r="B559" s="46" t="s">
        <v>257</v>
      </c>
      <c r="C559" s="47">
        <v>56</v>
      </c>
      <c r="D559" s="46" t="s">
        <v>9</v>
      </c>
      <c r="E559" s="46" t="s">
        <v>10</v>
      </c>
      <c r="F559" s="46">
        <v>38</v>
      </c>
      <c r="G559" s="46">
        <v>14</v>
      </c>
      <c r="H559" s="46">
        <v>11</v>
      </c>
      <c r="I559" s="46" t="s">
        <v>126</v>
      </c>
      <c r="J559" s="16" t="s">
        <v>19</v>
      </c>
      <c r="K559" s="16" t="s">
        <v>20</v>
      </c>
      <c r="L559" s="43"/>
      <c r="M559" s="46" t="str">
        <f>HYPERLINK("http://www.stromypodkontrolou.cz/map/tree/eb9fcfc1-f6fa-405f-85c7-690b2fb79ecd/4d4e86d1-2837-44be-be29-f7cd38e337a6")</f>
        <v>http://www.stromypodkontrolou.cz/map/tree/eb9fcfc1-f6fa-405f-85c7-690b2fb79ecd/4d4e86d1-2837-44be-be29-f7cd38e337a6</v>
      </c>
      <c r="N559" s="5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</row>
    <row r="560" spans="1:14" s="3" customFormat="1" ht="12.75">
      <c r="A560" s="9">
        <v>555</v>
      </c>
      <c r="B560" s="38" t="s">
        <v>257</v>
      </c>
      <c r="C560" s="41">
        <v>57</v>
      </c>
      <c r="D560" s="38" t="s">
        <v>9</v>
      </c>
      <c r="E560" s="38" t="s">
        <v>10</v>
      </c>
      <c r="F560" s="38">
        <v>30</v>
      </c>
      <c r="G560" s="38">
        <v>16</v>
      </c>
      <c r="H560" s="38">
        <v>11</v>
      </c>
      <c r="I560" s="38"/>
      <c r="J560" s="10" t="s">
        <v>14</v>
      </c>
      <c r="K560" s="10" t="s">
        <v>15</v>
      </c>
      <c r="L560" s="42"/>
      <c r="M560" s="38" t="str">
        <f>HYPERLINK("http://www.stromypodkontrolou.cz/map/tree/eb9fcfc1-f6fa-405f-85c7-690b2fb79ecd/59ccb853-5a0f-496a-8ed4-f30ba6d9f83f")</f>
        <v>http://www.stromypodkontrolou.cz/map/tree/eb9fcfc1-f6fa-405f-85c7-690b2fb79ecd/59ccb853-5a0f-496a-8ed4-f30ba6d9f83f</v>
      </c>
      <c r="N560" s="53"/>
    </row>
    <row r="561" spans="1:14" s="3" customFormat="1" ht="22.5">
      <c r="A561" s="9">
        <v>556</v>
      </c>
      <c r="B561" s="38" t="s">
        <v>257</v>
      </c>
      <c r="C561" s="41">
        <v>57</v>
      </c>
      <c r="D561" s="38" t="s">
        <v>9</v>
      </c>
      <c r="E561" s="38" t="s">
        <v>10</v>
      </c>
      <c r="F561" s="38">
        <v>30</v>
      </c>
      <c r="G561" s="38">
        <v>16</v>
      </c>
      <c r="H561" s="38">
        <v>11</v>
      </c>
      <c r="I561" s="38"/>
      <c r="J561" s="10" t="s">
        <v>19</v>
      </c>
      <c r="K561" s="10" t="s">
        <v>20</v>
      </c>
      <c r="L561" s="42"/>
      <c r="M561" s="38" t="str">
        <f>HYPERLINK("http://www.stromypodkontrolou.cz/map/tree/eb9fcfc1-f6fa-405f-85c7-690b2fb79ecd/59ccb853-5a0f-496a-8ed4-f30ba6d9f83f")</f>
        <v>http://www.stromypodkontrolou.cz/map/tree/eb9fcfc1-f6fa-405f-85c7-690b2fb79ecd/59ccb853-5a0f-496a-8ed4-f30ba6d9f83f</v>
      </c>
      <c r="N561" s="53"/>
    </row>
    <row r="562" spans="1:207" s="15" customFormat="1" ht="25.5" customHeight="1">
      <c r="A562" s="12">
        <v>557</v>
      </c>
      <c r="B562" s="46" t="s">
        <v>257</v>
      </c>
      <c r="C562" s="47">
        <v>59</v>
      </c>
      <c r="D562" s="46" t="s">
        <v>9</v>
      </c>
      <c r="E562" s="46" t="s">
        <v>10</v>
      </c>
      <c r="F562" s="46">
        <v>37</v>
      </c>
      <c r="G562" s="46">
        <v>13</v>
      </c>
      <c r="H562" s="46">
        <v>11</v>
      </c>
      <c r="I562" s="46" t="s">
        <v>18</v>
      </c>
      <c r="J562" s="16" t="s">
        <v>12</v>
      </c>
      <c r="K562" s="16" t="s">
        <v>13</v>
      </c>
      <c r="L562" s="16" t="s">
        <v>17</v>
      </c>
      <c r="M562" s="46" t="str">
        <f>HYPERLINK("http://www.stromypodkontrolou.cz/map/tree/eb9fcfc1-f6fa-405f-85c7-690b2fb79ecd/551c6cc3-1e08-4dc8-829a-5a588cf5a9c0")</f>
        <v>http://www.stromypodkontrolou.cz/map/tree/eb9fcfc1-f6fa-405f-85c7-690b2fb79ecd/551c6cc3-1e08-4dc8-829a-5a588cf5a9c0</v>
      </c>
      <c r="N562" s="5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</row>
    <row r="563" spans="1:207" s="15" customFormat="1" ht="12.75">
      <c r="A563" s="12">
        <v>558</v>
      </c>
      <c r="B563" s="46" t="s">
        <v>257</v>
      </c>
      <c r="C563" s="47">
        <v>59</v>
      </c>
      <c r="D563" s="46" t="s">
        <v>9</v>
      </c>
      <c r="E563" s="46" t="s">
        <v>10</v>
      </c>
      <c r="F563" s="46">
        <v>37</v>
      </c>
      <c r="G563" s="46">
        <v>13</v>
      </c>
      <c r="H563" s="46">
        <v>11</v>
      </c>
      <c r="I563" s="46" t="s">
        <v>18</v>
      </c>
      <c r="J563" s="16" t="s">
        <v>14</v>
      </c>
      <c r="K563" s="16" t="s">
        <v>15</v>
      </c>
      <c r="L563" s="16"/>
      <c r="M563" s="46" t="str">
        <f>HYPERLINK("http://www.stromypodkontrolou.cz/map/tree/eb9fcfc1-f6fa-405f-85c7-690b2fb79ecd/551c6cc3-1e08-4dc8-829a-5a588cf5a9c0")</f>
        <v>http://www.stromypodkontrolou.cz/map/tree/eb9fcfc1-f6fa-405f-85c7-690b2fb79ecd/551c6cc3-1e08-4dc8-829a-5a588cf5a9c0</v>
      </c>
      <c r="N563" s="5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</row>
    <row r="564" spans="1:14" s="3" customFormat="1" ht="45">
      <c r="A564" s="9">
        <v>559</v>
      </c>
      <c r="B564" s="10" t="s">
        <v>258</v>
      </c>
      <c r="C564" s="11">
        <v>16</v>
      </c>
      <c r="D564" s="10" t="s">
        <v>119</v>
      </c>
      <c r="E564" s="10" t="s">
        <v>120</v>
      </c>
      <c r="F564" s="10">
        <v>45</v>
      </c>
      <c r="G564" s="10">
        <v>14</v>
      </c>
      <c r="H564" s="10">
        <v>7</v>
      </c>
      <c r="I564" s="10" t="s">
        <v>259</v>
      </c>
      <c r="J564" s="10" t="s">
        <v>12</v>
      </c>
      <c r="K564" s="10" t="s">
        <v>13</v>
      </c>
      <c r="L564" s="10" t="s">
        <v>22</v>
      </c>
      <c r="M564" s="10" t="str">
        <f>HYPERLINK("http://www.stromypodkontrolou.cz/map/tree/eb9fcfc1-f6fa-405f-85c7-690b2fb79ecd/b4764143-5f32-4c33-bb28-529697703509")</f>
        <v>http://www.stromypodkontrolou.cz/map/tree/eb9fcfc1-f6fa-405f-85c7-690b2fb79ecd/b4764143-5f32-4c33-bb28-529697703509</v>
      </c>
      <c r="N564" s="53"/>
    </row>
    <row r="565" spans="1:207" s="15" customFormat="1" ht="22.5">
      <c r="A565" s="12">
        <v>560</v>
      </c>
      <c r="B565" s="46" t="s">
        <v>260</v>
      </c>
      <c r="C565" s="47">
        <v>24</v>
      </c>
      <c r="D565" s="46" t="s">
        <v>37</v>
      </c>
      <c r="E565" s="46" t="s">
        <v>38</v>
      </c>
      <c r="F565" s="46">
        <v>38</v>
      </c>
      <c r="G565" s="46">
        <v>19</v>
      </c>
      <c r="H565" s="46">
        <v>15</v>
      </c>
      <c r="I565" s="46" t="s">
        <v>261</v>
      </c>
      <c r="J565" s="16" t="s">
        <v>12</v>
      </c>
      <c r="K565" s="16" t="s">
        <v>13</v>
      </c>
      <c r="L565" s="43"/>
      <c r="M565" s="46" t="str">
        <f>HYPERLINK("http://www.stromypodkontrolou.cz/map/tree/eb9fcfc1-f6fa-405f-85c7-690b2fb79ecd/e36d6258-45d1-4766-8636-c17c786dfb28")</f>
        <v>http://www.stromypodkontrolou.cz/map/tree/eb9fcfc1-f6fa-405f-85c7-690b2fb79ecd/e36d6258-45d1-4766-8636-c17c786dfb28</v>
      </c>
      <c r="N565" s="5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</row>
    <row r="566" spans="1:207" s="15" customFormat="1" ht="12.75">
      <c r="A566" s="12">
        <v>561</v>
      </c>
      <c r="B566" s="46" t="s">
        <v>260</v>
      </c>
      <c r="C566" s="47">
        <v>24</v>
      </c>
      <c r="D566" s="46" t="s">
        <v>37</v>
      </c>
      <c r="E566" s="46" t="s">
        <v>38</v>
      </c>
      <c r="F566" s="46">
        <v>38</v>
      </c>
      <c r="G566" s="46">
        <v>19</v>
      </c>
      <c r="H566" s="46">
        <v>15</v>
      </c>
      <c r="I566" s="46" t="s">
        <v>261</v>
      </c>
      <c r="J566" s="16" t="s">
        <v>14</v>
      </c>
      <c r="K566" s="16" t="s">
        <v>15</v>
      </c>
      <c r="L566" s="43"/>
      <c r="M566" s="46" t="str">
        <f>HYPERLINK("http://www.stromypodkontrolou.cz/map/tree/eb9fcfc1-f6fa-405f-85c7-690b2fb79ecd/e36d6258-45d1-4766-8636-c17c786dfb28")</f>
        <v>http://www.stromypodkontrolou.cz/map/tree/eb9fcfc1-f6fa-405f-85c7-690b2fb79ecd/e36d6258-45d1-4766-8636-c17c786dfb28</v>
      </c>
      <c r="N566" s="5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</row>
    <row r="567" spans="1:14" s="3" customFormat="1" ht="12.75">
      <c r="A567" s="9">
        <v>562</v>
      </c>
      <c r="B567" s="38" t="s">
        <v>260</v>
      </c>
      <c r="C567" s="41">
        <v>26</v>
      </c>
      <c r="D567" s="38" t="s">
        <v>31</v>
      </c>
      <c r="E567" s="38" t="s">
        <v>32</v>
      </c>
      <c r="F567" s="38">
        <v>37</v>
      </c>
      <c r="G567" s="38">
        <v>14</v>
      </c>
      <c r="H567" s="38">
        <v>11</v>
      </c>
      <c r="I567" s="38" t="s">
        <v>11</v>
      </c>
      <c r="J567" s="10" t="s">
        <v>14</v>
      </c>
      <c r="K567" s="10" t="s">
        <v>15</v>
      </c>
      <c r="L567" s="42"/>
      <c r="M567" s="38" t="str">
        <f>HYPERLINK("http://www.stromypodkontrolou.cz/map/tree/eb9fcfc1-f6fa-405f-85c7-690b2fb79ecd/adcb5f6a-676d-40e1-9c59-83fe621f19c0")</f>
        <v>http://www.stromypodkontrolou.cz/map/tree/eb9fcfc1-f6fa-405f-85c7-690b2fb79ecd/adcb5f6a-676d-40e1-9c59-83fe621f19c0</v>
      </c>
      <c r="N567" s="53"/>
    </row>
    <row r="568" spans="1:14" s="3" customFormat="1" ht="22.5">
      <c r="A568" s="9">
        <v>563</v>
      </c>
      <c r="B568" s="38" t="s">
        <v>260</v>
      </c>
      <c r="C568" s="41">
        <v>26</v>
      </c>
      <c r="D568" s="38" t="s">
        <v>31</v>
      </c>
      <c r="E568" s="38" t="s">
        <v>32</v>
      </c>
      <c r="F568" s="38">
        <v>37</v>
      </c>
      <c r="G568" s="38">
        <v>14</v>
      </c>
      <c r="H568" s="38">
        <v>11</v>
      </c>
      <c r="I568" s="38" t="s">
        <v>11</v>
      </c>
      <c r="J568" s="10" t="s">
        <v>12</v>
      </c>
      <c r="K568" s="10" t="s">
        <v>13</v>
      </c>
      <c r="L568" s="42"/>
      <c r="M568" s="38" t="str">
        <f>HYPERLINK("http://www.stromypodkontrolou.cz/map/tree/eb9fcfc1-f6fa-405f-85c7-690b2fb79ecd/adcb5f6a-676d-40e1-9c59-83fe621f19c0")</f>
        <v>http://www.stromypodkontrolou.cz/map/tree/eb9fcfc1-f6fa-405f-85c7-690b2fb79ecd/adcb5f6a-676d-40e1-9c59-83fe621f19c0</v>
      </c>
      <c r="N568" s="53"/>
    </row>
    <row r="569" spans="1:207" s="15" customFormat="1" ht="12.75">
      <c r="A569" s="12">
        <v>564</v>
      </c>
      <c r="B569" s="46" t="s">
        <v>260</v>
      </c>
      <c r="C569" s="47">
        <v>28</v>
      </c>
      <c r="D569" s="46" t="s">
        <v>31</v>
      </c>
      <c r="E569" s="46" t="s">
        <v>32</v>
      </c>
      <c r="F569" s="46">
        <v>33</v>
      </c>
      <c r="G569" s="46">
        <v>14</v>
      </c>
      <c r="H569" s="46">
        <v>11</v>
      </c>
      <c r="I569" s="46" t="s">
        <v>103</v>
      </c>
      <c r="J569" s="16" t="s">
        <v>14</v>
      </c>
      <c r="K569" s="16" t="s">
        <v>15</v>
      </c>
      <c r="L569" s="43"/>
      <c r="M569" s="46" t="str">
        <f>HYPERLINK("http://www.stromypodkontrolou.cz/map/tree/eb9fcfc1-f6fa-405f-85c7-690b2fb79ecd/7b5c3fff-beab-4ad9-89f2-8b291a950c68")</f>
        <v>http://www.stromypodkontrolou.cz/map/tree/eb9fcfc1-f6fa-405f-85c7-690b2fb79ecd/7b5c3fff-beab-4ad9-89f2-8b291a950c68</v>
      </c>
      <c r="N569" s="5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</row>
    <row r="570" spans="1:207" s="15" customFormat="1" ht="22.5">
      <c r="A570" s="12">
        <v>565</v>
      </c>
      <c r="B570" s="46" t="s">
        <v>260</v>
      </c>
      <c r="C570" s="47">
        <v>28</v>
      </c>
      <c r="D570" s="46" t="s">
        <v>31</v>
      </c>
      <c r="E570" s="46" t="s">
        <v>32</v>
      </c>
      <c r="F570" s="46">
        <v>33</v>
      </c>
      <c r="G570" s="46">
        <v>14</v>
      </c>
      <c r="H570" s="46">
        <v>11</v>
      </c>
      <c r="I570" s="46" t="s">
        <v>103</v>
      </c>
      <c r="J570" s="16" t="s">
        <v>12</v>
      </c>
      <c r="K570" s="16" t="s">
        <v>13</v>
      </c>
      <c r="L570" s="43"/>
      <c r="M570" s="46" t="str">
        <f>HYPERLINK("http://www.stromypodkontrolou.cz/map/tree/eb9fcfc1-f6fa-405f-85c7-690b2fb79ecd/7b5c3fff-beab-4ad9-89f2-8b291a950c68")</f>
        <v>http://www.stromypodkontrolou.cz/map/tree/eb9fcfc1-f6fa-405f-85c7-690b2fb79ecd/7b5c3fff-beab-4ad9-89f2-8b291a950c68</v>
      </c>
      <c r="N570" s="5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</row>
    <row r="571" spans="1:14" s="3" customFormat="1" ht="45">
      <c r="A571" s="9">
        <v>566</v>
      </c>
      <c r="B571" s="10" t="s">
        <v>260</v>
      </c>
      <c r="C571" s="11">
        <v>29</v>
      </c>
      <c r="D571" s="10" t="s">
        <v>31</v>
      </c>
      <c r="E571" s="10" t="s">
        <v>32</v>
      </c>
      <c r="F571" s="10">
        <v>37</v>
      </c>
      <c r="G571" s="10">
        <v>16</v>
      </c>
      <c r="H571" s="10">
        <v>9</v>
      </c>
      <c r="I571" s="10" t="s">
        <v>43</v>
      </c>
      <c r="J571" s="10" t="s">
        <v>14</v>
      </c>
      <c r="K571" s="10" t="s">
        <v>15</v>
      </c>
      <c r="L571" s="10" t="s">
        <v>17</v>
      </c>
      <c r="M571" s="10" t="str">
        <f>HYPERLINK("http://www.stromypodkontrolou.cz/map/tree/eb9fcfc1-f6fa-405f-85c7-690b2fb79ecd/62ea799f-f0d4-41d5-a1df-fb5c2164c8a1")</f>
        <v>http://www.stromypodkontrolou.cz/map/tree/eb9fcfc1-f6fa-405f-85c7-690b2fb79ecd/62ea799f-f0d4-41d5-a1df-fb5c2164c8a1</v>
      </c>
      <c r="N571" s="53"/>
    </row>
    <row r="572" spans="1:207" s="15" customFormat="1" ht="45">
      <c r="A572" s="12">
        <v>567</v>
      </c>
      <c r="B572" s="16" t="s">
        <v>260</v>
      </c>
      <c r="C572" s="14">
        <v>34</v>
      </c>
      <c r="D572" s="16" t="s">
        <v>31</v>
      </c>
      <c r="E572" s="16" t="s">
        <v>32</v>
      </c>
      <c r="F572" s="16">
        <v>46</v>
      </c>
      <c r="G572" s="16">
        <v>16</v>
      </c>
      <c r="H572" s="16">
        <v>14</v>
      </c>
      <c r="I572" s="16" t="s">
        <v>158</v>
      </c>
      <c r="J572" s="16" t="s">
        <v>115</v>
      </c>
      <c r="K572" s="16" t="s">
        <v>116</v>
      </c>
      <c r="L572" s="16" t="s">
        <v>135</v>
      </c>
      <c r="M572" s="16" t="str">
        <f>HYPERLINK("http://www.stromypodkontrolou.cz/map/tree/eb9fcfc1-f6fa-405f-85c7-690b2fb79ecd/c828496e-6aac-4db4-8102-132761b76e28")</f>
        <v>http://www.stromypodkontrolou.cz/map/tree/eb9fcfc1-f6fa-405f-85c7-690b2fb79ecd/c828496e-6aac-4db4-8102-132761b76e28</v>
      </c>
      <c r="N572" s="5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</row>
    <row r="573" spans="1:14" s="3" customFormat="1" ht="25.5" customHeight="1">
      <c r="A573" s="9">
        <v>568</v>
      </c>
      <c r="B573" s="38" t="s">
        <v>260</v>
      </c>
      <c r="C573" s="41">
        <v>35</v>
      </c>
      <c r="D573" s="38" t="s">
        <v>71</v>
      </c>
      <c r="E573" s="38" t="s">
        <v>72</v>
      </c>
      <c r="F573" s="38">
        <v>46</v>
      </c>
      <c r="G573" s="38">
        <v>15</v>
      </c>
      <c r="H573" s="38">
        <v>11</v>
      </c>
      <c r="I573" s="38" t="s">
        <v>262</v>
      </c>
      <c r="J573" s="10" t="s">
        <v>12</v>
      </c>
      <c r="K573" s="10" t="s">
        <v>13</v>
      </c>
      <c r="L573" s="10" t="s">
        <v>17</v>
      </c>
      <c r="M573" s="38" t="str">
        <f>HYPERLINK("http://www.stromypodkontrolou.cz/map/tree/eb9fcfc1-f6fa-405f-85c7-690b2fb79ecd/1b939973-99e4-4e8f-ac5c-b5e52780cf28")</f>
        <v>http://www.stromypodkontrolou.cz/map/tree/eb9fcfc1-f6fa-405f-85c7-690b2fb79ecd/1b939973-99e4-4e8f-ac5c-b5e52780cf28</v>
      </c>
      <c r="N573" s="53"/>
    </row>
    <row r="574" spans="1:14" s="3" customFormat="1" ht="12.75">
      <c r="A574" s="9">
        <v>569</v>
      </c>
      <c r="B574" s="38" t="s">
        <v>260</v>
      </c>
      <c r="C574" s="41">
        <v>35</v>
      </c>
      <c r="D574" s="38" t="s">
        <v>71</v>
      </c>
      <c r="E574" s="38" t="s">
        <v>72</v>
      </c>
      <c r="F574" s="38">
        <v>46</v>
      </c>
      <c r="G574" s="38">
        <v>15</v>
      </c>
      <c r="H574" s="38">
        <v>11</v>
      </c>
      <c r="I574" s="38" t="s">
        <v>262</v>
      </c>
      <c r="J574" s="10" t="s">
        <v>14</v>
      </c>
      <c r="K574" s="10" t="s">
        <v>15</v>
      </c>
      <c r="L574" s="10"/>
      <c r="M574" s="38" t="str">
        <f>HYPERLINK("http://www.stromypodkontrolou.cz/map/tree/eb9fcfc1-f6fa-405f-85c7-690b2fb79ecd/1b939973-99e4-4e8f-ac5c-b5e52780cf28")</f>
        <v>http://www.stromypodkontrolou.cz/map/tree/eb9fcfc1-f6fa-405f-85c7-690b2fb79ecd/1b939973-99e4-4e8f-ac5c-b5e52780cf28</v>
      </c>
      <c r="N574" s="53"/>
    </row>
    <row r="575" spans="1:207" s="15" customFormat="1" ht="12.75">
      <c r="A575" s="12">
        <v>570</v>
      </c>
      <c r="B575" s="46" t="s">
        <v>260</v>
      </c>
      <c r="C575" s="47">
        <v>36</v>
      </c>
      <c r="D575" s="46" t="s">
        <v>31</v>
      </c>
      <c r="E575" s="46" t="s">
        <v>32</v>
      </c>
      <c r="F575" s="46">
        <v>43</v>
      </c>
      <c r="G575" s="46">
        <v>16</v>
      </c>
      <c r="H575" s="46">
        <v>11</v>
      </c>
      <c r="I575" s="46" t="s">
        <v>263</v>
      </c>
      <c r="J575" s="16" t="s">
        <v>14</v>
      </c>
      <c r="K575" s="16" t="s">
        <v>15</v>
      </c>
      <c r="L575" s="43"/>
      <c r="M575" s="46" t="str">
        <f>HYPERLINK("http://www.stromypodkontrolou.cz/map/tree/eb9fcfc1-f6fa-405f-85c7-690b2fb79ecd/73d4a5b8-4cc1-499d-b109-a4592afb2595")</f>
        <v>http://www.stromypodkontrolou.cz/map/tree/eb9fcfc1-f6fa-405f-85c7-690b2fb79ecd/73d4a5b8-4cc1-499d-b109-a4592afb2595</v>
      </c>
      <c r="N575" s="5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</row>
    <row r="576" spans="1:207" s="15" customFormat="1" ht="22.5">
      <c r="A576" s="12">
        <v>571</v>
      </c>
      <c r="B576" s="46" t="s">
        <v>260</v>
      </c>
      <c r="C576" s="47">
        <v>36</v>
      </c>
      <c r="D576" s="46" t="s">
        <v>31</v>
      </c>
      <c r="E576" s="46" t="s">
        <v>32</v>
      </c>
      <c r="F576" s="46">
        <v>43</v>
      </c>
      <c r="G576" s="46">
        <v>16</v>
      </c>
      <c r="H576" s="46">
        <v>11</v>
      </c>
      <c r="I576" s="46" t="s">
        <v>263</v>
      </c>
      <c r="J576" s="16" t="s">
        <v>12</v>
      </c>
      <c r="K576" s="16" t="s">
        <v>13</v>
      </c>
      <c r="L576" s="43"/>
      <c r="M576" s="46" t="str">
        <f>HYPERLINK("http://www.stromypodkontrolou.cz/map/tree/eb9fcfc1-f6fa-405f-85c7-690b2fb79ecd/73d4a5b8-4cc1-499d-b109-a4592afb2595")</f>
        <v>http://www.stromypodkontrolou.cz/map/tree/eb9fcfc1-f6fa-405f-85c7-690b2fb79ecd/73d4a5b8-4cc1-499d-b109-a4592afb2595</v>
      </c>
      <c r="N576" s="5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</row>
    <row r="577" spans="1:14" s="3" customFormat="1" ht="25.5" customHeight="1">
      <c r="A577" s="9">
        <v>572</v>
      </c>
      <c r="B577" s="38" t="s">
        <v>260</v>
      </c>
      <c r="C577" s="41">
        <v>41</v>
      </c>
      <c r="D577" s="38" t="s">
        <v>37</v>
      </c>
      <c r="E577" s="38" t="s">
        <v>38</v>
      </c>
      <c r="F577" s="38">
        <v>33</v>
      </c>
      <c r="G577" s="38">
        <v>15</v>
      </c>
      <c r="H577" s="38">
        <v>10</v>
      </c>
      <c r="I577" s="38" t="s">
        <v>18</v>
      </c>
      <c r="J577" s="10" t="s">
        <v>12</v>
      </c>
      <c r="K577" s="10" t="s">
        <v>13</v>
      </c>
      <c r="L577" s="10" t="s">
        <v>17</v>
      </c>
      <c r="M577" s="38" t="str">
        <f>HYPERLINK("http://www.stromypodkontrolou.cz/map/tree/eb9fcfc1-f6fa-405f-85c7-690b2fb79ecd/1462e96f-5872-4033-93ff-2c69531b3686")</f>
        <v>http://www.stromypodkontrolou.cz/map/tree/eb9fcfc1-f6fa-405f-85c7-690b2fb79ecd/1462e96f-5872-4033-93ff-2c69531b3686</v>
      </c>
      <c r="N577" s="53"/>
    </row>
    <row r="578" spans="1:14" s="3" customFormat="1" ht="12.75">
      <c r="A578" s="9">
        <v>573</v>
      </c>
      <c r="B578" s="38" t="s">
        <v>260</v>
      </c>
      <c r="C578" s="41">
        <v>41</v>
      </c>
      <c r="D578" s="38" t="s">
        <v>37</v>
      </c>
      <c r="E578" s="38" t="s">
        <v>38</v>
      </c>
      <c r="F578" s="38">
        <v>33</v>
      </c>
      <c r="G578" s="38">
        <v>15</v>
      </c>
      <c r="H578" s="38">
        <v>10</v>
      </c>
      <c r="I578" s="38" t="s">
        <v>18</v>
      </c>
      <c r="J578" s="10" t="s">
        <v>14</v>
      </c>
      <c r="K578" s="10" t="s">
        <v>15</v>
      </c>
      <c r="L578" s="10"/>
      <c r="M578" s="38" t="str">
        <f>HYPERLINK("http://www.stromypodkontrolou.cz/map/tree/eb9fcfc1-f6fa-405f-85c7-690b2fb79ecd/1462e96f-5872-4033-93ff-2c69531b3686")</f>
        <v>http://www.stromypodkontrolou.cz/map/tree/eb9fcfc1-f6fa-405f-85c7-690b2fb79ecd/1462e96f-5872-4033-93ff-2c69531b3686</v>
      </c>
      <c r="N578" s="53"/>
    </row>
    <row r="579" spans="1:207" s="15" customFormat="1" ht="25.5" customHeight="1">
      <c r="A579" s="12">
        <v>574</v>
      </c>
      <c r="B579" s="46" t="s">
        <v>260</v>
      </c>
      <c r="C579" s="47">
        <v>42</v>
      </c>
      <c r="D579" s="46" t="s">
        <v>37</v>
      </c>
      <c r="E579" s="46" t="s">
        <v>38</v>
      </c>
      <c r="F579" s="46">
        <v>28</v>
      </c>
      <c r="G579" s="46">
        <v>16</v>
      </c>
      <c r="H579" s="46">
        <v>10</v>
      </c>
      <c r="I579" s="46" t="s">
        <v>158</v>
      </c>
      <c r="J579" s="16" t="s">
        <v>12</v>
      </c>
      <c r="K579" s="16" t="s">
        <v>13</v>
      </c>
      <c r="L579" s="16" t="s">
        <v>17</v>
      </c>
      <c r="M579" s="46" t="str">
        <f>HYPERLINK("http://www.stromypodkontrolou.cz/map/tree/eb9fcfc1-f6fa-405f-85c7-690b2fb79ecd/877f158a-abfd-4609-9870-9591cf8ccdee")</f>
        <v>http://www.stromypodkontrolou.cz/map/tree/eb9fcfc1-f6fa-405f-85c7-690b2fb79ecd/877f158a-abfd-4609-9870-9591cf8ccdee</v>
      </c>
      <c r="N579" s="5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</row>
    <row r="580" spans="1:207" s="15" customFormat="1" ht="12.75">
      <c r="A580" s="12">
        <v>575</v>
      </c>
      <c r="B580" s="46" t="s">
        <v>260</v>
      </c>
      <c r="C580" s="47">
        <v>42</v>
      </c>
      <c r="D580" s="46" t="s">
        <v>37</v>
      </c>
      <c r="E580" s="46" t="s">
        <v>38</v>
      </c>
      <c r="F580" s="46">
        <v>28</v>
      </c>
      <c r="G580" s="46">
        <v>16</v>
      </c>
      <c r="H580" s="46">
        <v>10</v>
      </c>
      <c r="I580" s="46" t="s">
        <v>158</v>
      </c>
      <c r="J580" s="16" t="s">
        <v>14</v>
      </c>
      <c r="K580" s="16" t="s">
        <v>15</v>
      </c>
      <c r="L580" s="16"/>
      <c r="M580" s="46" t="str">
        <f>HYPERLINK("http://www.stromypodkontrolou.cz/map/tree/eb9fcfc1-f6fa-405f-85c7-690b2fb79ecd/877f158a-abfd-4609-9870-9591cf8ccdee")</f>
        <v>http://www.stromypodkontrolou.cz/map/tree/eb9fcfc1-f6fa-405f-85c7-690b2fb79ecd/877f158a-abfd-4609-9870-9591cf8ccdee</v>
      </c>
      <c r="N580" s="5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</row>
    <row r="581" spans="1:14" s="3" customFormat="1" ht="45">
      <c r="A581" s="9">
        <v>576</v>
      </c>
      <c r="B581" s="10" t="s">
        <v>260</v>
      </c>
      <c r="C581" s="11">
        <v>43</v>
      </c>
      <c r="D581" s="10" t="s">
        <v>31</v>
      </c>
      <c r="E581" s="10" t="s">
        <v>32</v>
      </c>
      <c r="F581" s="10">
        <v>36</v>
      </c>
      <c r="G581" s="10">
        <v>15</v>
      </c>
      <c r="H581" s="10">
        <v>11</v>
      </c>
      <c r="I581" s="10" t="s">
        <v>264</v>
      </c>
      <c r="J581" s="10" t="s">
        <v>14</v>
      </c>
      <c r="K581" s="10" t="s">
        <v>15</v>
      </c>
      <c r="L581" s="10" t="s">
        <v>17</v>
      </c>
      <c r="M581" s="10" t="str">
        <f>HYPERLINK("http://www.stromypodkontrolou.cz/map/tree/eb9fcfc1-f6fa-405f-85c7-690b2fb79ecd/a056bf7b-8f83-4c62-8f2c-a50ac0e77a8a")</f>
        <v>http://www.stromypodkontrolou.cz/map/tree/eb9fcfc1-f6fa-405f-85c7-690b2fb79ecd/a056bf7b-8f83-4c62-8f2c-a50ac0e77a8a</v>
      </c>
      <c r="N581" s="53"/>
    </row>
    <row r="582" spans="1:207" s="15" customFormat="1" ht="45">
      <c r="A582" s="12">
        <v>577</v>
      </c>
      <c r="B582" s="16" t="s">
        <v>265</v>
      </c>
      <c r="C582" s="14">
        <v>38</v>
      </c>
      <c r="D582" s="16" t="s">
        <v>219</v>
      </c>
      <c r="E582" s="16" t="s">
        <v>220</v>
      </c>
      <c r="F582" s="16"/>
      <c r="G582" s="16"/>
      <c r="H582" s="16"/>
      <c r="I582" s="16" t="s">
        <v>286</v>
      </c>
      <c r="J582" s="16" t="s">
        <v>14</v>
      </c>
      <c r="K582" s="16" t="s">
        <v>15</v>
      </c>
      <c r="L582" s="16"/>
      <c r="M582" s="16" t="s">
        <v>287</v>
      </c>
      <c r="N582" s="5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</row>
    <row r="583" spans="1:14" s="3" customFormat="1" ht="12.75">
      <c r="A583" s="9">
        <v>578</v>
      </c>
      <c r="B583" s="38" t="s">
        <v>265</v>
      </c>
      <c r="C583" s="41">
        <v>41</v>
      </c>
      <c r="D583" s="38" t="s">
        <v>219</v>
      </c>
      <c r="E583" s="38" t="s">
        <v>220</v>
      </c>
      <c r="F583" s="38"/>
      <c r="G583" s="38"/>
      <c r="H583" s="38"/>
      <c r="I583" s="38"/>
      <c r="J583" s="10" t="s">
        <v>14</v>
      </c>
      <c r="K583" s="10" t="s">
        <v>15</v>
      </c>
      <c r="L583" s="42"/>
      <c r="M583" s="38" t="s">
        <v>288</v>
      </c>
      <c r="N583" s="53"/>
    </row>
    <row r="584" spans="1:14" s="3" customFormat="1" ht="22.5">
      <c r="A584" s="9">
        <v>579</v>
      </c>
      <c r="B584" s="38" t="s">
        <v>265</v>
      </c>
      <c r="C584" s="41"/>
      <c r="D584" s="38"/>
      <c r="E584" s="38"/>
      <c r="F584" s="38"/>
      <c r="G584" s="38"/>
      <c r="H584" s="38"/>
      <c r="I584" s="38"/>
      <c r="J584" s="10" t="s">
        <v>19</v>
      </c>
      <c r="K584" s="10" t="s">
        <v>20</v>
      </c>
      <c r="L584" s="42"/>
      <c r="M584" s="38"/>
      <c r="N584" s="53"/>
    </row>
    <row r="585" spans="1:207" s="15" customFormat="1" ht="45">
      <c r="A585" s="12">
        <v>580</v>
      </c>
      <c r="B585" s="16" t="s">
        <v>265</v>
      </c>
      <c r="C585" s="14">
        <v>42</v>
      </c>
      <c r="D585" s="16" t="s">
        <v>266</v>
      </c>
      <c r="E585" s="16" t="s">
        <v>267</v>
      </c>
      <c r="F585" s="16">
        <v>10</v>
      </c>
      <c r="G585" s="16">
        <v>6</v>
      </c>
      <c r="H585" s="16">
        <v>2</v>
      </c>
      <c r="I585" s="16"/>
      <c r="J585" s="16" t="s">
        <v>14</v>
      </c>
      <c r="K585" s="16" t="s">
        <v>15</v>
      </c>
      <c r="L585" s="16"/>
      <c r="M585" s="16" t="str">
        <f>HYPERLINK("http://www.stromypodkontrolou.cz/map/tree/eb9fcfc1-f6fa-405f-85c7-690b2fb79ecd/32fd384d-6fb5-4d93-9497-9946f4ac2167")</f>
        <v>http://www.stromypodkontrolou.cz/map/tree/eb9fcfc1-f6fa-405f-85c7-690b2fb79ecd/32fd384d-6fb5-4d93-9497-9946f4ac2167</v>
      </c>
      <c r="N585" s="5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</row>
    <row r="586" spans="1:14" s="3" customFormat="1" ht="45">
      <c r="A586" s="9">
        <v>581</v>
      </c>
      <c r="B586" s="10" t="s">
        <v>265</v>
      </c>
      <c r="C586" s="11">
        <v>43</v>
      </c>
      <c r="D586" s="10" t="s">
        <v>266</v>
      </c>
      <c r="E586" s="10" t="s">
        <v>267</v>
      </c>
      <c r="F586" s="10">
        <v>10</v>
      </c>
      <c r="G586" s="10">
        <v>6</v>
      </c>
      <c r="H586" s="10">
        <v>3</v>
      </c>
      <c r="I586" s="10"/>
      <c r="J586" s="10" t="s">
        <v>14</v>
      </c>
      <c r="K586" s="10" t="s">
        <v>15</v>
      </c>
      <c r="L586" s="10"/>
      <c r="M586" s="10" t="str">
        <f>HYPERLINK("http://www.stromypodkontrolou.cz/map/tree/eb9fcfc1-f6fa-405f-85c7-690b2fb79ecd/dce6ebfa-3177-440e-9c46-548387c12424")</f>
        <v>http://www.stromypodkontrolou.cz/map/tree/eb9fcfc1-f6fa-405f-85c7-690b2fb79ecd/dce6ebfa-3177-440e-9c46-548387c12424</v>
      </c>
      <c r="N586" s="53"/>
    </row>
    <row r="587" spans="1:207" s="15" customFormat="1" ht="45">
      <c r="A587" s="12">
        <v>582</v>
      </c>
      <c r="B587" s="16" t="s">
        <v>265</v>
      </c>
      <c r="C587" s="14">
        <v>56</v>
      </c>
      <c r="D587" s="16" t="s">
        <v>250</v>
      </c>
      <c r="E587" s="16" t="s">
        <v>251</v>
      </c>
      <c r="F587" s="16">
        <v>41</v>
      </c>
      <c r="G587" s="16">
        <v>18</v>
      </c>
      <c r="H587" s="16">
        <v>8</v>
      </c>
      <c r="I587" s="16" t="s">
        <v>126</v>
      </c>
      <c r="J587" s="16" t="s">
        <v>12</v>
      </c>
      <c r="K587" s="16" t="s">
        <v>13</v>
      </c>
      <c r="L587" s="16" t="s">
        <v>17</v>
      </c>
      <c r="M587" s="16" t="str">
        <f>HYPERLINK("http://www.stromypodkontrolou.cz/map/tree/eb9fcfc1-f6fa-405f-85c7-690b2fb79ecd/dfe849cf-d35d-4263-af6d-2a82a620ff28")</f>
        <v>http://www.stromypodkontrolou.cz/map/tree/eb9fcfc1-f6fa-405f-85c7-690b2fb79ecd/dfe849cf-d35d-4263-af6d-2a82a620ff28</v>
      </c>
      <c r="N587" s="5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</row>
    <row r="588" spans="1:14" s="3" customFormat="1" ht="22.5">
      <c r="A588" s="9">
        <v>583</v>
      </c>
      <c r="B588" s="38" t="s">
        <v>265</v>
      </c>
      <c r="C588" s="41">
        <v>58</v>
      </c>
      <c r="D588" s="38" t="s">
        <v>39</v>
      </c>
      <c r="E588" s="38" t="s">
        <v>40</v>
      </c>
      <c r="F588" s="38">
        <v>65</v>
      </c>
      <c r="G588" s="38">
        <v>20</v>
      </c>
      <c r="H588" s="38">
        <v>12</v>
      </c>
      <c r="I588" s="38" t="s">
        <v>263</v>
      </c>
      <c r="J588" s="10" t="s">
        <v>12</v>
      </c>
      <c r="K588" s="10" t="s">
        <v>13</v>
      </c>
      <c r="L588" s="42"/>
      <c r="M588" s="38" t="s">
        <v>314</v>
      </c>
      <c r="N588" s="53"/>
    </row>
    <row r="589" spans="1:14" s="3" customFormat="1" ht="12.75">
      <c r="A589" s="9">
        <v>584</v>
      </c>
      <c r="B589" s="38"/>
      <c r="C589" s="41"/>
      <c r="D589" s="38"/>
      <c r="E589" s="38"/>
      <c r="F589" s="38"/>
      <c r="G589" s="38"/>
      <c r="H589" s="38"/>
      <c r="I589" s="38"/>
      <c r="J589" s="10" t="s">
        <v>14</v>
      </c>
      <c r="K589" s="10" t="s">
        <v>15</v>
      </c>
      <c r="L589" s="42"/>
      <c r="M589" s="38"/>
      <c r="N589" s="53"/>
    </row>
    <row r="590" spans="1:207" s="15" customFormat="1" ht="56.25">
      <c r="A590" s="12">
        <v>585</v>
      </c>
      <c r="B590" s="16" t="s">
        <v>327</v>
      </c>
      <c r="C590" s="14">
        <v>7</v>
      </c>
      <c r="D590" s="16" t="s">
        <v>58</v>
      </c>
      <c r="E590" s="16" t="s">
        <v>59</v>
      </c>
      <c r="F590" s="16">
        <v>27</v>
      </c>
      <c r="G590" s="16">
        <v>8</v>
      </c>
      <c r="H590" s="16">
        <v>5</v>
      </c>
      <c r="I590" s="16" t="s">
        <v>264</v>
      </c>
      <c r="J590" s="16" t="s">
        <v>12</v>
      </c>
      <c r="K590" s="16" t="s">
        <v>13</v>
      </c>
      <c r="L590" s="16"/>
      <c r="M590" s="16" t="str">
        <f>HYPERLINK("http://www.stromypodkontrolou.cz/map/?draw_selection_circle=1#%7B%22lat%22%3A%2049.6823294814%2C%20%22lng%22%3A%2018.6754568797%2C%20%22zoom%22%3A%2020%7D")</f>
        <v>http://www.stromypodkontrolou.cz/map/?draw_selection_circle=1#%7B%22lat%22%3A%2049.6823294814%2C%20%22lng%22%3A%2018.6754568797%2C%20%22zoom%22%3A%2020%7D</v>
      </c>
      <c r="N590" s="5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</row>
    <row r="591" spans="1:14" s="3" customFormat="1" ht="56.25">
      <c r="A591" s="9">
        <v>586</v>
      </c>
      <c r="B591" s="10" t="s">
        <v>327</v>
      </c>
      <c r="C591" s="11">
        <v>28</v>
      </c>
      <c r="D591" s="10" t="s">
        <v>242</v>
      </c>
      <c r="E591" s="10" t="s">
        <v>243</v>
      </c>
      <c r="F591" s="10">
        <v>47</v>
      </c>
      <c r="G591" s="10">
        <v>15</v>
      </c>
      <c r="H591" s="10">
        <v>11</v>
      </c>
      <c r="I591" s="10" t="s">
        <v>328</v>
      </c>
      <c r="J591" s="10" t="s">
        <v>12</v>
      </c>
      <c r="K591" s="10" t="s">
        <v>13</v>
      </c>
      <c r="L591" s="10"/>
      <c r="M591" s="10" t="str">
        <f>HYPERLINK("http://www.stromypodkontrolou.cz/map/?draw_selection_circle=1#%7B%22lat%22%3A%2049.6823950963%2C%20%22lng%22%3A%2018.6755748764%2C%20%22zoom%22%3A%2020%7D")</f>
        <v>http://www.stromypodkontrolou.cz/map/?draw_selection_circle=1#%7B%22lat%22%3A%2049.6823950963%2C%20%22lng%22%3A%2018.6755748764%2C%20%22zoom%22%3A%2020%7D</v>
      </c>
      <c r="N591" s="53"/>
    </row>
    <row r="592" spans="1:207" s="15" customFormat="1" ht="67.5">
      <c r="A592" s="12">
        <v>587</v>
      </c>
      <c r="B592" s="16" t="s">
        <v>327</v>
      </c>
      <c r="C592" s="14">
        <v>54</v>
      </c>
      <c r="D592" s="16" t="s">
        <v>9</v>
      </c>
      <c r="E592" s="16" t="s">
        <v>10</v>
      </c>
      <c r="F592" s="16">
        <v>67</v>
      </c>
      <c r="G592" s="16">
        <v>19</v>
      </c>
      <c r="H592" s="16">
        <v>10</v>
      </c>
      <c r="I592" s="16" t="s">
        <v>329</v>
      </c>
      <c r="J592" s="16" t="s">
        <v>280</v>
      </c>
      <c r="K592" s="16" t="s">
        <v>281</v>
      </c>
      <c r="L592" s="16"/>
      <c r="M592" s="16" t="str">
        <f>HYPERLINK("http://www.stromypodkontrolou.cz/map/?draw_selection_circle=1#%7B%22lat%22%3A%2049.6820153595149%2C%20%22lng%22%3A%2018.6764226800286%2C%20%22zoom%22%3A%2020%7D")</f>
        <v>http://www.stromypodkontrolou.cz/map/?draw_selection_circle=1#%7B%22lat%22%3A%2049.6820153595149%2C%20%22lng%22%3A%2018.6764226800286%2C%20%22zoom%22%3A%2020%7D</v>
      </c>
      <c r="N592" s="5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</row>
    <row r="593" spans="1:14" s="3" customFormat="1" ht="56.25">
      <c r="A593" s="9">
        <v>588</v>
      </c>
      <c r="B593" s="10" t="s">
        <v>327</v>
      </c>
      <c r="C593" s="11">
        <v>164</v>
      </c>
      <c r="D593" s="10" t="s">
        <v>47</v>
      </c>
      <c r="E593" s="10" t="s">
        <v>48</v>
      </c>
      <c r="F593" s="10">
        <v>68</v>
      </c>
      <c r="G593" s="10">
        <v>21</v>
      </c>
      <c r="H593" s="10">
        <v>9</v>
      </c>
      <c r="I593" s="10" t="s">
        <v>330</v>
      </c>
      <c r="J593" s="10" t="s">
        <v>115</v>
      </c>
      <c r="K593" s="10" t="s">
        <v>116</v>
      </c>
      <c r="L593" s="10" t="s">
        <v>331</v>
      </c>
      <c r="M593" s="10" t="str">
        <f>HYPERLINK("http://www.stromypodkontrolou.cz/map/?draw_selection_circle=1#%7B%22lat%22%3A%2049.6833446306776%2C%20%22lng%22%3A%2018.6776917398892%2C%20%22zoom%22%3A%2020%7D")</f>
        <v>http://www.stromypodkontrolou.cz/map/?draw_selection_circle=1#%7B%22lat%22%3A%2049.6833446306776%2C%20%22lng%22%3A%2018.6776917398892%2C%20%22zoom%22%3A%2020%7D</v>
      </c>
      <c r="N593" s="53"/>
    </row>
    <row r="594" spans="1:207" s="15" customFormat="1" ht="78.75">
      <c r="A594" s="12">
        <v>589</v>
      </c>
      <c r="B594" s="16" t="s">
        <v>327</v>
      </c>
      <c r="C594" s="14">
        <v>173</v>
      </c>
      <c r="D594" s="16" t="s">
        <v>47</v>
      </c>
      <c r="E594" s="16" t="s">
        <v>48</v>
      </c>
      <c r="F594" s="16">
        <v>81</v>
      </c>
      <c r="G594" s="16">
        <v>21</v>
      </c>
      <c r="H594" s="16">
        <v>10</v>
      </c>
      <c r="I594" s="16" t="s">
        <v>332</v>
      </c>
      <c r="J594" s="16" t="s">
        <v>12</v>
      </c>
      <c r="K594" s="16" t="s">
        <v>13</v>
      </c>
      <c r="L594" s="16" t="s">
        <v>333</v>
      </c>
      <c r="M594" s="16" t="str">
        <f>HYPERLINK("http://www.stromypodkontrolou.cz/map/?draw_selection_circle=1#%7B%22lat%22%3A%2049.6835808399228%2C%20%22lng%22%3A%2018.6767625018611%2C%20%22zoom%22%3A%2020%7D")</f>
        <v>http://www.stromypodkontrolou.cz/map/?draw_selection_circle=1#%7B%22lat%22%3A%2049.6835808399228%2C%20%22lng%22%3A%2018.6767625018611%2C%20%22zoom%22%3A%2020%7D</v>
      </c>
      <c r="N594" s="5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</row>
    <row r="595" spans="1:14" s="3" customFormat="1" ht="25.5" customHeight="1">
      <c r="A595" s="9">
        <v>590</v>
      </c>
      <c r="B595" s="38" t="s">
        <v>334</v>
      </c>
      <c r="C595" s="41">
        <v>60</v>
      </c>
      <c r="D595" s="38" t="s">
        <v>335</v>
      </c>
      <c r="E595" s="38" t="s">
        <v>336</v>
      </c>
      <c r="F595" s="38">
        <v>5</v>
      </c>
      <c r="G595" s="38">
        <v>2</v>
      </c>
      <c r="H595" s="38">
        <v>2</v>
      </c>
      <c r="I595" s="38" t="s">
        <v>337</v>
      </c>
      <c r="J595" s="10" t="s">
        <v>19</v>
      </c>
      <c r="K595" s="10" t="s">
        <v>20</v>
      </c>
      <c r="L595" s="39"/>
      <c r="M595" s="38" t="str">
        <f>HYPERLINK("http://www.stromypodkontrolou.cz/map/?draw_selection_circle=1#%7B%22lat%22%3A%2049.6834381402%2C%20%22lng%22%3A%2018.6718660084%2C%20%22zoom%22%3A%2020%7D")</f>
        <v>http://www.stromypodkontrolou.cz/map/?draw_selection_circle=1#%7B%22lat%22%3A%2049.6834381402%2C%20%22lng%22%3A%2018.6718660084%2C%20%22zoom%22%3A%2020%7D</v>
      </c>
      <c r="N595" s="53"/>
    </row>
    <row r="596" spans="1:14" s="3" customFormat="1" ht="12.75">
      <c r="A596" s="9">
        <v>591</v>
      </c>
      <c r="B596" s="38"/>
      <c r="C596" s="41"/>
      <c r="D596" s="38"/>
      <c r="E596" s="38"/>
      <c r="F596" s="38"/>
      <c r="G596" s="38"/>
      <c r="H596" s="38"/>
      <c r="I596" s="38"/>
      <c r="J596" s="10" t="s">
        <v>54</v>
      </c>
      <c r="K596" s="10" t="s">
        <v>55</v>
      </c>
      <c r="L596" s="40"/>
      <c r="M596" s="38"/>
      <c r="N596" s="53"/>
    </row>
    <row r="597" spans="1:207" s="15" customFormat="1" ht="56.25">
      <c r="A597" s="12">
        <v>592</v>
      </c>
      <c r="B597" s="16" t="s">
        <v>334</v>
      </c>
      <c r="C597" s="14">
        <v>61</v>
      </c>
      <c r="D597" s="16" t="s">
        <v>335</v>
      </c>
      <c r="E597" s="16" t="s">
        <v>336</v>
      </c>
      <c r="F597" s="16">
        <v>9</v>
      </c>
      <c r="G597" s="16">
        <v>3</v>
      </c>
      <c r="H597" s="16">
        <v>2</v>
      </c>
      <c r="I597" s="16" t="s">
        <v>338</v>
      </c>
      <c r="J597" s="16" t="s">
        <v>19</v>
      </c>
      <c r="K597" s="16" t="s">
        <v>20</v>
      </c>
      <c r="L597" s="16"/>
      <c r="M597" s="16" t="str">
        <f>HYPERLINK("http://www.stromypodkontrolou.cz/map/?draw_selection_circle=1#%7B%22lat%22%3A%2049.6834489096%2C%20%22lng%22%3A%2018.6717924233%2C%20%22zoom%22%3A%2020%7D")</f>
        <v>http://www.stromypodkontrolou.cz/map/?draw_selection_circle=1#%7B%22lat%22%3A%2049.6834489096%2C%20%22lng%22%3A%2018.6717924233%2C%20%22zoom%22%3A%2020%7D</v>
      </c>
      <c r="N597" s="5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</row>
    <row r="598" spans="1:14" s="3" customFormat="1" ht="25.5" customHeight="1">
      <c r="A598" s="9">
        <v>593</v>
      </c>
      <c r="B598" s="38" t="s">
        <v>334</v>
      </c>
      <c r="C598" s="41">
        <v>62</v>
      </c>
      <c r="D598" s="38" t="s">
        <v>335</v>
      </c>
      <c r="E598" s="38" t="s">
        <v>336</v>
      </c>
      <c r="F598" s="38">
        <v>5</v>
      </c>
      <c r="G598" s="38">
        <v>2</v>
      </c>
      <c r="H598" s="38">
        <v>1</v>
      </c>
      <c r="I598" s="38" t="s">
        <v>337</v>
      </c>
      <c r="J598" s="10" t="s">
        <v>19</v>
      </c>
      <c r="K598" s="10" t="s">
        <v>20</v>
      </c>
      <c r="L598" s="39"/>
      <c r="M598" s="38" t="str">
        <f>HYPERLINK("http://www.stromypodkontrolou.cz/map/?draw_selection_circle=1#%7B%22lat%22%3A%2049.6835098898%2C%20%22lng%22%3A%2018.6717640633%2C%20%22zoom%22%3A%2020%7D")</f>
        <v>http://www.stromypodkontrolou.cz/map/?draw_selection_circle=1#%7B%22lat%22%3A%2049.6835098898%2C%20%22lng%22%3A%2018.6717640633%2C%20%22zoom%22%3A%2020%7D</v>
      </c>
      <c r="N598" s="53"/>
    </row>
    <row r="599" spans="1:14" s="3" customFormat="1" ht="12.75">
      <c r="A599" s="9">
        <v>594</v>
      </c>
      <c r="B599" s="38"/>
      <c r="C599" s="41"/>
      <c r="D599" s="38"/>
      <c r="E599" s="38"/>
      <c r="F599" s="38"/>
      <c r="G599" s="38"/>
      <c r="H599" s="38"/>
      <c r="I599" s="38"/>
      <c r="J599" s="10" t="s">
        <v>54</v>
      </c>
      <c r="K599" s="10" t="s">
        <v>55</v>
      </c>
      <c r="L599" s="40"/>
      <c r="M599" s="38"/>
      <c r="N599" s="53"/>
    </row>
    <row r="600" spans="1:207" s="15" customFormat="1" ht="25.5" customHeight="1">
      <c r="A600" s="12">
        <v>595</v>
      </c>
      <c r="B600" s="46" t="s">
        <v>334</v>
      </c>
      <c r="C600" s="47">
        <v>63</v>
      </c>
      <c r="D600" s="46" t="s">
        <v>335</v>
      </c>
      <c r="E600" s="46" t="s">
        <v>336</v>
      </c>
      <c r="F600" s="46">
        <v>5</v>
      </c>
      <c r="G600" s="46">
        <v>2</v>
      </c>
      <c r="H600" s="46">
        <v>1</v>
      </c>
      <c r="I600" s="46" t="s">
        <v>337</v>
      </c>
      <c r="J600" s="16" t="s">
        <v>19</v>
      </c>
      <c r="K600" s="16" t="s">
        <v>20</v>
      </c>
      <c r="L600" s="16"/>
      <c r="M600" s="46" t="str">
        <f>HYPERLINK("http://www.stromypodkontrolou.cz/map/?draw_selection_circle=1#%7B%22lat%22%3A%2049.6834954764%2C%20%22lng%22%3A%2018.6717250324%2C%20%22zoom%22%3A%2020%7D")</f>
        <v>http://www.stromypodkontrolou.cz/map/?draw_selection_circle=1#%7B%22lat%22%3A%2049.6834954764%2C%20%22lng%22%3A%2018.6717250324%2C%20%22zoom%22%3A%2020%7D</v>
      </c>
      <c r="N600" s="5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</row>
    <row r="601" spans="1:207" s="15" customFormat="1" ht="12.75">
      <c r="A601" s="12">
        <v>596</v>
      </c>
      <c r="B601" s="46"/>
      <c r="C601" s="47"/>
      <c r="D601" s="46"/>
      <c r="E601" s="46"/>
      <c r="F601" s="46"/>
      <c r="G601" s="46"/>
      <c r="H601" s="46"/>
      <c r="I601" s="46"/>
      <c r="J601" s="16" t="s">
        <v>54</v>
      </c>
      <c r="K601" s="16" t="s">
        <v>55</v>
      </c>
      <c r="L601" s="16"/>
      <c r="M601" s="46"/>
      <c r="N601" s="5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</row>
    <row r="602" spans="1:14" s="3" customFormat="1" ht="56.25">
      <c r="A602" s="9">
        <v>597</v>
      </c>
      <c r="B602" s="10" t="s">
        <v>334</v>
      </c>
      <c r="C602" s="11">
        <v>64</v>
      </c>
      <c r="D602" s="10" t="s">
        <v>335</v>
      </c>
      <c r="E602" s="10" t="s">
        <v>336</v>
      </c>
      <c r="F602" s="10">
        <v>6</v>
      </c>
      <c r="G602" s="10">
        <v>2</v>
      </c>
      <c r="H602" s="10">
        <v>2</v>
      </c>
      <c r="I602" s="10" t="s">
        <v>338</v>
      </c>
      <c r="J602" s="10" t="s">
        <v>19</v>
      </c>
      <c r="K602" s="10" t="s">
        <v>20</v>
      </c>
      <c r="L602" s="10"/>
      <c r="M602" s="10" t="str">
        <f>HYPERLINK("http://www.stromypodkontrolou.cz/map/?draw_selection_circle=1#%7B%22lat%22%3A%2049.6835787029%2C%20%22lng%22%3A%2018.6716697716%2C%20%22zoom%22%3A%2020%7D")</f>
        <v>http://www.stromypodkontrolou.cz/map/?draw_selection_circle=1#%7B%22lat%22%3A%2049.6835787029%2C%20%22lng%22%3A%2018.6716697716%2C%20%22zoom%22%3A%2020%7D</v>
      </c>
      <c r="N602" s="53"/>
    </row>
    <row r="603" spans="1:207" s="15" customFormat="1" ht="56.25">
      <c r="A603" s="12">
        <v>598</v>
      </c>
      <c r="B603" s="16" t="s">
        <v>334</v>
      </c>
      <c r="C603" s="14">
        <v>77</v>
      </c>
      <c r="D603" s="16" t="s">
        <v>335</v>
      </c>
      <c r="E603" s="16" t="s">
        <v>336</v>
      </c>
      <c r="F603" s="16">
        <v>2</v>
      </c>
      <c r="G603" s="16">
        <v>3</v>
      </c>
      <c r="H603" s="16">
        <v>2</v>
      </c>
      <c r="I603" s="16" t="s">
        <v>338</v>
      </c>
      <c r="J603" s="16" t="s">
        <v>19</v>
      </c>
      <c r="K603" s="16" t="s">
        <v>20</v>
      </c>
      <c r="L603" s="16"/>
      <c r="M603" s="16" t="str">
        <f>HYPERLINK("http://www.stromypodkontrolou.cz/map/?draw_selection_circle=1#%7B%22lat%22%3A%2049.6834806445%2C%20%22lng%22%3A%2018.6717519824%2C%20%22zoom%22%3A%2020%7D")</f>
        <v>http://www.stromypodkontrolou.cz/map/?draw_selection_circle=1#%7B%22lat%22%3A%2049.6834806445%2C%20%22lng%22%3A%2018.6717519824%2C%20%22zoom%22%3A%2020%7D</v>
      </c>
      <c r="N603" s="5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</row>
    <row r="604" spans="1:14" s="3" customFormat="1" ht="56.25">
      <c r="A604" s="9">
        <v>599</v>
      </c>
      <c r="B604" s="10" t="s">
        <v>334</v>
      </c>
      <c r="C604" s="11">
        <v>78</v>
      </c>
      <c r="D604" s="10" t="s">
        <v>335</v>
      </c>
      <c r="E604" s="10" t="s">
        <v>336</v>
      </c>
      <c r="F604" s="10">
        <v>6</v>
      </c>
      <c r="G604" s="10">
        <v>2</v>
      </c>
      <c r="H604" s="10">
        <v>2</v>
      </c>
      <c r="I604" s="10" t="s">
        <v>338</v>
      </c>
      <c r="J604" s="10" t="s">
        <v>19</v>
      </c>
      <c r="K604" s="10" t="s">
        <v>20</v>
      </c>
      <c r="L604" s="10"/>
      <c r="M604" s="10" t="str">
        <f>HYPERLINK("http://www.stromypodkontrolou.cz/map/?draw_selection_circle=1#%7B%22lat%22%3A%2049.6835414536%2C%20%22lng%22%3A%2018.6716622605%2C%20%22zoom%22%3A%2020%7D")</f>
        <v>http://www.stromypodkontrolou.cz/map/?draw_selection_circle=1#%7B%22lat%22%3A%2049.6835414536%2C%20%22lng%22%3A%2018.6716622605%2C%20%22zoom%22%3A%2020%7D</v>
      </c>
      <c r="N604" s="53"/>
    </row>
    <row r="605" spans="1:207" s="15" customFormat="1" ht="56.25">
      <c r="A605" s="12">
        <v>600</v>
      </c>
      <c r="B605" s="16" t="s">
        <v>339</v>
      </c>
      <c r="C605" s="14">
        <v>1</v>
      </c>
      <c r="D605" s="16" t="s">
        <v>340</v>
      </c>
      <c r="E605" s="16" t="s">
        <v>341</v>
      </c>
      <c r="F605" s="16">
        <v>17</v>
      </c>
      <c r="G605" s="16">
        <v>9</v>
      </c>
      <c r="H605" s="16">
        <v>3</v>
      </c>
      <c r="I605" s="16"/>
      <c r="J605" s="16" t="s">
        <v>14</v>
      </c>
      <c r="K605" s="16" t="s">
        <v>15</v>
      </c>
      <c r="L605" s="16"/>
      <c r="M605" s="16" t="str">
        <f>HYPERLINK("http://www.stromypodkontrolou.cz/map/?draw_selection_circle=1#%7B%22lat%22%3A%2049.68408734861%2C%20%22lng%22%3A%2018.6711058466618%2C%20%22zoom%22%3A%2020%7D")</f>
        <v>http://www.stromypodkontrolou.cz/map/?draw_selection_circle=1#%7B%22lat%22%3A%2049.68408734861%2C%20%22lng%22%3A%2018.6711058466618%2C%20%22zoom%22%3A%2020%7D</v>
      </c>
      <c r="N605" s="5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</row>
    <row r="606" spans="1:14" s="3" customFormat="1" ht="56.25">
      <c r="A606" s="9">
        <v>601</v>
      </c>
      <c r="B606" s="10" t="s">
        <v>339</v>
      </c>
      <c r="C606" s="11">
        <v>2</v>
      </c>
      <c r="D606" s="10" t="s">
        <v>340</v>
      </c>
      <c r="E606" s="10" t="s">
        <v>341</v>
      </c>
      <c r="F606" s="10">
        <v>15</v>
      </c>
      <c r="G606" s="10">
        <v>8</v>
      </c>
      <c r="H606" s="10">
        <v>3</v>
      </c>
      <c r="I606" s="10" t="s">
        <v>342</v>
      </c>
      <c r="J606" s="10" t="s">
        <v>14</v>
      </c>
      <c r="K606" s="10" t="s">
        <v>15</v>
      </c>
      <c r="L606" s="10"/>
      <c r="M606" s="10" t="str">
        <f>HYPERLINK("http://www.stromypodkontrolou.cz/map/?draw_selection_circle=1#%7B%22lat%22%3A%2049.684164406479%2C%20%22lng%22%3A%2018.6712175428746%2C%20%22zoom%22%3A%2020%7D")</f>
        <v>http://www.stromypodkontrolou.cz/map/?draw_selection_circle=1#%7B%22lat%22%3A%2049.684164406479%2C%20%22lng%22%3A%2018.6712175428746%2C%20%22zoom%22%3A%2020%7D</v>
      </c>
      <c r="N606" s="53"/>
    </row>
    <row r="607" spans="1:207" s="15" customFormat="1" ht="56.25">
      <c r="A607" s="12">
        <v>602</v>
      </c>
      <c r="B607" s="16" t="s">
        <v>339</v>
      </c>
      <c r="C607" s="14">
        <v>4</v>
      </c>
      <c r="D607" s="16" t="s">
        <v>343</v>
      </c>
      <c r="E607" s="16" t="s">
        <v>344</v>
      </c>
      <c r="F607" s="16">
        <v>18</v>
      </c>
      <c r="G607" s="16">
        <v>5</v>
      </c>
      <c r="H607" s="16">
        <v>5</v>
      </c>
      <c r="I607" s="16"/>
      <c r="J607" s="16" t="s">
        <v>14</v>
      </c>
      <c r="K607" s="16" t="s">
        <v>15</v>
      </c>
      <c r="L607" s="16"/>
      <c r="M607" s="16" t="str">
        <f>HYPERLINK("http://www.stromypodkontrolou.cz/map/?draw_selection_circle=1#%7B%22lat%22%3A%2049.6841735861956%2C%20%22lng%22%3A%2018.6707209361995%2C%20%22zoom%22%3A%2020%7D")</f>
        <v>http://www.stromypodkontrolou.cz/map/?draw_selection_circle=1#%7B%22lat%22%3A%2049.6841735861956%2C%20%22lng%22%3A%2018.6707209361995%2C%20%22zoom%22%3A%2020%7D</v>
      </c>
      <c r="N607" s="5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</row>
    <row r="608" spans="1:14" s="3" customFormat="1" ht="25.5" customHeight="1">
      <c r="A608" s="9">
        <v>603</v>
      </c>
      <c r="B608" s="38" t="s">
        <v>339</v>
      </c>
      <c r="C608" s="41">
        <v>26</v>
      </c>
      <c r="D608" s="38" t="s">
        <v>345</v>
      </c>
      <c r="E608" s="38" t="s">
        <v>346</v>
      </c>
      <c r="F608" s="38">
        <v>4</v>
      </c>
      <c r="G608" s="38">
        <v>4</v>
      </c>
      <c r="H608" s="38">
        <v>1.5</v>
      </c>
      <c r="I608" s="38"/>
      <c r="J608" s="10" t="s">
        <v>19</v>
      </c>
      <c r="K608" s="10" t="s">
        <v>20</v>
      </c>
      <c r="L608" s="39"/>
      <c r="M608" s="38" t="str">
        <f>HYPERLINK("http://www.stromypodkontrolou.cz/map/?draw_selection_circle=1#%7B%22lat%22%3A%2049.6846391853%2C%20%22lng%22%3A%2018.6716090511%2C%20%22zoom%22%3A%2020%7D")</f>
        <v>http://www.stromypodkontrolou.cz/map/?draw_selection_circle=1#%7B%22lat%22%3A%2049.6846391853%2C%20%22lng%22%3A%2018.6716090511%2C%20%22zoom%22%3A%2020%7D</v>
      </c>
      <c r="N608" s="53"/>
    </row>
    <row r="609" spans="1:14" s="3" customFormat="1" ht="12.75">
      <c r="A609" s="9">
        <v>604</v>
      </c>
      <c r="B609" s="38"/>
      <c r="C609" s="41"/>
      <c r="D609" s="38"/>
      <c r="E609" s="38"/>
      <c r="F609" s="38"/>
      <c r="G609" s="38"/>
      <c r="H609" s="38"/>
      <c r="I609" s="38"/>
      <c r="J609" s="10" t="s">
        <v>54</v>
      </c>
      <c r="K609" s="10" t="s">
        <v>55</v>
      </c>
      <c r="L609" s="40"/>
      <c r="M609" s="38"/>
      <c r="N609" s="53"/>
    </row>
    <row r="610" spans="1:207" s="15" customFormat="1" ht="56.25">
      <c r="A610" s="12">
        <v>605</v>
      </c>
      <c r="B610" s="16" t="s">
        <v>339</v>
      </c>
      <c r="C610" s="14">
        <v>34</v>
      </c>
      <c r="D610" s="16" t="s">
        <v>340</v>
      </c>
      <c r="E610" s="16" t="s">
        <v>341</v>
      </c>
      <c r="F610" s="16">
        <v>15</v>
      </c>
      <c r="G610" s="16">
        <v>9</v>
      </c>
      <c r="H610" s="16">
        <v>3</v>
      </c>
      <c r="I610" s="16"/>
      <c r="J610" s="16" t="s">
        <v>14</v>
      </c>
      <c r="K610" s="16" t="s">
        <v>15</v>
      </c>
      <c r="L610" s="16"/>
      <c r="M610" s="16" t="str">
        <f>HYPERLINK("http://www.stromypodkontrolou.cz/map/?draw_selection_circle=1#%7B%22lat%22%3A%2049.6843268610064%2C%20%22lng%22%3A%2018.6719578578585%2C%20%22zoom%22%3A%2020%7D")</f>
        <v>http://www.stromypodkontrolou.cz/map/?draw_selection_circle=1#%7B%22lat%22%3A%2049.6843268610064%2C%20%22lng%22%3A%2018.6719578578585%2C%20%22zoom%22%3A%2020%7D</v>
      </c>
      <c r="N610" s="5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</row>
    <row r="611" spans="1:14" s="3" customFormat="1" ht="56.25">
      <c r="A611" s="9">
        <v>606</v>
      </c>
      <c r="B611" s="10" t="s">
        <v>339</v>
      </c>
      <c r="C611" s="11">
        <v>40</v>
      </c>
      <c r="D611" s="10" t="s">
        <v>347</v>
      </c>
      <c r="E611" s="10" t="s">
        <v>348</v>
      </c>
      <c r="F611" s="10">
        <v>6</v>
      </c>
      <c r="G611" s="10">
        <v>3</v>
      </c>
      <c r="H611" s="10">
        <v>2</v>
      </c>
      <c r="I611" s="10" t="s">
        <v>337</v>
      </c>
      <c r="J611" s="10" t="s">
        <v>54</v>
      </c>
      <c r="K611" s="10" t="s">
        <v>55</v>
      </c>
      <c r="L611" s="10"/>
      <c r="M611" s="10" t="str">
        <f>HYPERLINK("http://www.stromypodkontrolou.cz/map/?draw_selection_circle=1#%7B%22lat%22%3A%2049.6844651916%2C%20%22lng%22%3A%2018.6719519677%2C%20%22zoom%22%3A%2020%7D")</f>
        <v>http://www.stromypodkontrolou.cz/map/?draw_selection_circle=1#%7B%22lat%22%3A%2049.6844651916%2C%20%22lng%22%3A%2018.6719519677%2C%20%22zoom%22%3A%2020%7D</v>
      </c>
      <c r="N611" s="53"/>
    </row>
    <row r="612" spans="1:207" s="15" customFormat="1" ht="56.25">
      <c r="A612" s="12">
        <v>607</v>
      </c>
      <c r="B612" s="16" t="s">
        <v>339</v>
      </c>
      <c r="C612" s="14">
        <v>41</v>
      </c>
      <c r="D612" s="16" t="s">
        <v>347</v>
      </c>
      <c r="E612" s="16" t="s">
        <v>348</v>
      </c>
      <c r="F612" s="16">
        <v>6</v>
      </c>
      <c r="G612" s="16">
        <v>3</v>
      </c>
      <c r="H612" s="16">
        <v>2</v>
      </c>
      <c r="I612" s="16" t="s">
        <v>337</v>
      </c>
      <c r="J612" s="16" t="s">
        <v>54</v>
      </c>
      <c r="K612" s="16" t="s">
        <v>55</v>
      </c>
      <c r="L612" s="16"/>
      <c r="M612" s="16" t="str">
        <f>HYPERLINK("http://www.stromypodkontrolou.cz/map/?draw_selection_circle=1#%7B%22lat%22%3A%2049.6846016828%2C%20%22lng%22%3A%2018.6718222063%2C%20%22zoom%22%3A%2020%7D")</f>
        <v>http://www.stromypodkontrolou.cz/map/?draw_selection_circle=1#%7B%22lat%22%3A%2049.6846016828%2C%20%22lng%22%3A%2018.6718222063%2C%20%22zoom%22%3A%2020%7D</v>
      </c>
      <c r="N612" s="5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</row>
    <row r="613" spans="1:14" s="3" customFormat="1" ht="56.25">
      <c r="A613" s="9">
        <v>608</v>
      </c>
      <c r="B613" s="10" t="s">
        <v>349</v>
      </c>
      <c r="C613" s="11">
        <v>69</v>
      </c>
      <c r="D613" s="10" t="s">
        <v>138</v>
      </c>
      <c r="E613" s="10" t="s">
        <v>139</v>
      </c>
      <c r="F613" s="10">
        <v>46</v>
      </c>
      <c r="G613" s="10">
        <v>12</v>
      </c>
      <c r="H613" s="10">
        <v>4</v>
      </c>
      <c r="I613" s="10"/>
      <c r="J613" s="10" t="s">
        <v>12</v>
      </c>
      <c r="K613" s="10" t="s">
        <v>13</v>
      </c>
      <c r="L613" s="10" t="s">
        <v>333</v>
      </c>
      <c r="M613" s="10" t="str">
        <f>HYPERLINK("http://www.stromypodkontrolou.cz/map/?draw_selection_circle=1#%7B%22lat%22%3A%2049.6821997045612%2C%20%22lng%22%3A%2018.6139299778342%2C%20%22zoom%22%3A%2020%7D")</f>
        <v>http://www.stromypodkontrolou.cz/map/?draw_selection_circle=1#%7B%22lat%22%3A%2049.6821997045612%2C%20%22lng%22%3A%2018.6139299778342%2C%20%22zoom%22%3A%2020%7D</v>
      </c>
      <c r="N613" s="53"/>
    </row>
    <row r="614" spans="1:207" s="15" customFormat="1" ht="56.25">
      <c r="A614" s="12">
        <v>609</v>
      </c>
      <c r="B614" s="16" t="s">
        <v>349</v>
      </c>
      <c r="C614" s="14">
        <v>71</v>
      </c>
      <c r="D614" s="16" t="s">
        <v>350</v>
      </c>
      <c r="E614" s="16" t="s">
        <v>351</v>
      </c>
      <c r="F614" s="16">
        <v>42</v>
      </c>
      <c r="G614" s="16">
        <v>12</v>
      </c>
      <c r="H614" s="16">
        <v>5</v>
      </c>
      <c r="I614" s="16" t="s">
        <v>352</v>
      </c>
      <c r="J614" s="16" t="s">
        <v>19</v>
      </c>
      <c r="K614" s="16" t="s">
        <v>20</v>
      </c>
      <c r="L614" s="16"/>
      <c r="M614" s="16" t="str">
        <f>HYPERLINK("http://www.stromypodkontrolou.cz/map/?draw_selection_circle=1#%7B%22lat%22%3A%2049.6823061460338%2C%20%22lng%22%3A%2018.6141644873867%2C%20%22zoom%22%3A%2020%7D")</f>
        <v>http://www.stromypodkontrolou.cz/map/?draw_selection_circle=1#%7B%22lat%22%3A%2049.6823061460338%2C%20%22lng%22%3A%2018.6141644873867%2C%20%22zoom%22%3A%2020%7D</v>
      </c>
      <c r="N614" s="5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</row>
    <row r="615" spans="1:14" s="3" customFormat="1" ht="56.25">
      <c r="A615" s="9">
        <v>610</v>
      </c>
      <c r="B615" s="10" t="s">
        <v>349</v>
      </c>
      <c r="C615" s="11">
        <v>78</v>
      </c>
      <c r="D615" s="10" t="s">
        <v>350</v>
      </c>
      <c r="E615" s="10" t="s">
        <v>351</v>
      </c>
      <c r="F615" s="10">
        <v>41</v>
      </c>
      <c r="G615" s="10">
        <v>13</v>
      </c>
      <c r="H615" s="10">
        <v>4</v>
      </c>
      <c r="I615" s="10" t="s">
        <v>353</v>
      </c>
      <c r="J615" s="10" t="s">
        <v>12</v>
      </c>
      <c r="K615" s="10" t="s">
        <v>13</v>
      </c>
      <c r="L615" s="10" t="s">
        <v>354</v>
      </c>
      <c r="M615" s="10" t="str">
        <f>HYPERLINK("http://www.stromypodkontrolou.cz/map/?draw_selection_circle=1#%7B%22lat%22%3A%2049.6823909313445%2C%20%22lng%22%3A%2018.6144215934619%2C%20%22zoom%22%3A%2020%7D")</f>
        <v>http://www.stromypodkontrolou.cz/map/?draw_selection_circle=1#%7B%22lat%22%3A%2049.6823909313445%2C%20%22lng%22%3A%2018.6144215934619%2C%20%22zoom%22%3A%2020%7D</v>
      </c>
      <c r="N615" s="53"/>
    </row>
    <row r="616" spans="1:207" s="15" customFormat="1" ht="56.25">
      <c r="A616" s="12">
        <v>611</v>
      </c>
      <c r="B616" s="16" t="s">
        <v>349</v>
      </c>
      <c r="C616" s="14">
        <v>80</v>
      </c>
      <c r="D616" s="16" t="s">
        <v>350</v>
      </c>
      <c r="E616" s="16" t="s">
        <v>351</v>
      </c>
      <c r="F616" s="16">
        <v>30</v>
      </c>
      <c r="G616" s="16">
        <v>11</v>
      </c>
      <c r="H616" s="16">
        <v>4</v>
      </c>
      <c r="I616" s="16" t="s">
        <v>355</v>
      </c>
      <c r="J616" s="16" t="s">
        <v>12</v>
      </c>
      <c r="K616" s="16" t="s">
        <v>13</v>
      </c>
      <c r="L616" s="16" t="s">
        <v>354</v>
      </c>
      <c r="M616" s="16" t="str">
        <f>HYPERLINK("http://www.stromypodkontrolou.cz/map/?draw_selection_circle=1#%7B%22lat%22%3A%2049.6824363799919%2C%20%22lng%22%3A%2018.6144843513291%2C%20%22zoom%22%3A%2020%7D")</f>
        <v>http://www.stromypodkontrolou.cz/map/?draw_selection_circle=1#%7B%22lat%22%3A%2049.6824363799919%2C%20%22lng%22%3A%2018.6144843513291%2C%20%22zoom%22%3A%2020%7D</v>
      </c>
      <c r="N616" s="5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</row>
    <row r="617" spans="1:14" s="3" customFormat="1" ht="56.25">
      <c r="A617" s="9">
        <v>612</v>
      </c>
      <c r="B617" s="10" t="s">
        <v>349</v>
      </c>
      <c r="C617" s="11">
        <v>81</v>
      </c>
      <c r="D617" s="10" t="s">
        <v>350</v>
      </c>
      <c r="E617" s="10" t="s">
        <v>351</v>
      </c>
      <c r="F617" s="10">
        <v>41</v>
      </c>
      <c r="G617" s="10">
        <v>13</v>
      </c>
      <c r="H617" s="10">
        <v>4</v>
      </c>
      <c r="I617" s="10" t="s">
        <v>356</v>
      </c>
      <c r="J617" s="10" t="s">
        <v>12</v>
      </c>
      <c r="K617" s="10" t="s">
        <v>13</v>
      </c>
      <c r="L617" s="10" t="s">
        <v>357</v>
      </c>
      <c r="M617" s="10" t="str">
        <f>HYPERLINK("http://www.stromypodkontrolou.cz/map/?draw_selection_circle=1#%7B%22lat%22%3A%2049.682382490406%2C%20%22lng%22%3A%2018.6144478783555%2C%20%22zoom%22%3A%2020%7D")</f>
        <v>http://www.stromypodkontrolou.cz/map/?draw_selection_circle=1#%7B%22lat%22%3A%2049.682382490406%2C%20%22lng%22%3A%2018.6144478783555%2C%20%22zoom%22%3A%2020%7D</v>
      </c>
      <c r="N617" s="53"/>
    </row>
    <row r="618" spans="1:207" s="15" customFormat="1" ht="56.25">
      <c r="A618" s="12">
        <v>613</v>
      </c>
      <c r="B618" s="16" t="s">
        <v>349</v>
      </c>
      <c r="C618" s="14">
        <v>91</v>
      </c>
      <c r="D618" s="16" t="s">
        <v>350</v>
      </c>
      <c r="E618" s="16" t="s">
        <v>351</v>
      </c>
      <c r="F618" s="16">
        <v>37</v>
      </c>
      <c r="G618" s="16">
        <v>12</v>
      </c>
      <c r="H618" s="16">
        <v>4</v>
      </c>
      <c r="I618" s="16" t="s">
        <v>358</v>
      </c>
      <c r="J618" s="16" t="s">
        <v>12</v>
      </c>
      <c r="K618" s="16" t="s">
        <v>13</v>
      </c>
      <c r="L618" s="16" t="s">
        <v>359</v>
      </c>
      <c r="M618" s="16" t="str">
        <f>HYPERLINK("http://www.stromypodkontrolou.cz/map/?draw_selection_circle=1#%7B%22lat%22%3A%2049.6822286358138%2C%20%22lng%22%3A%2018.6144690057045%2C%20%22zoom%22%3A%2020%7D")</f>
        <v>http://www.stromypodkontrolou.cz/map/?draw_selection_circle=1#%7B%22lat%22%3A%2049.6822286358138%2C%20%22lng%22%3A%2018.6144690057045%2C%20%22zoom%22%3A%2020%7D</v>
      </c>
      <c r="N618" s="5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</row>
    <row r="619" spans="1:14" s="3" customFormat="1" ht="56.25">
      <c r="A619" s="9">
        <v>614</v>
      </c>
      <c r="B619" s="10" t="s">
        <v>349</v>
      </c>
      <c r="C619" s="11">
        <v>92</v>
      </c>
      <c r="D619" s="10" t="s">
        <v>350</v>
      </c>
      <c r="E619" s="10" t="s">
        <v>351</v>
      </c>
      <c r="F619" s="10">
        <v>35</v>
      </c>
      <c r="G619" s="10">
        <v>11</v>
      </c>
      <c r="H619" s="10">
        <v>4</v>
      </c>
      <c r="I619" s="10"/>
      <c r="J619" s="10" t="s">
        <v>97</v>
      </c>
      <c r="K619" s="10" t="s">
        <v>98</v>
      </c>
      <c r="L619" s="10"/>
      <c r="M619" s="10" t="str">
        <f>HYPERLINK("http://www.stromypodkontrolou.cz/map/?draw_selection_circle=1#%7B%22lat%22%3A%2049.6822536459532%2C%20%22lng%22%3A%2018.6144752809419%2C%20%22zoom%22%3A%2020%7D")</f>
        <v>http://www.stromypodkontrolou.cz/map/?draw_selection_circle=1#%7B%22lat%22%3A%2049.6822536459532%2C%20%22lng%22%3A%2018.6144752809419%2C%20%22zoom%22%3A%2020%7D</v>
      </c>
      <c r="N619" s="53"/>
    </row>
    <row r="620" spans="1:207" s="15" customFormat="1" ht="56.25">
      <c r="A620" s="12">
        <v>615</v>
      </c>
      <c r="B620" s="16" t="s">
        <v>349</v>
      </c>
      <c r="C620" s="14">
        <v>93</v>
      </c>
      <c r="D620" s="16" t="s">
        <v>350</v>
      </c>
      <c r="E620" s="16" t="s">
        <v>351</v>
      </c>
      <c r="F620" s="16">
        <v>45</v>
      </c>
      <c r="G620" s="16">
        <v>13</v>
      </c>
      <c r="H620" s="16">
        <v>5</v>
      </c>
      <c r="I620" s="16" t="s">
        <v>360</v>
      </c>
      <c r="J620" s="16" t="s">
        <v>12</v>
      </c>
      <c r="K620" s="16" t="s">
        <v>13</v>
      </c>
      <c r="L620" s="16" t="s">
        <v>354</v>
      </c>
      <c r="M620" s="16" t="str">
        <f>HYPERLINK("http://www.stromypodkontrolou.cz/map/?draw_selection_circle=1#%7B%22lat%22%3A%2049.6822306585172%2C%20%22lng%22%3A%2018.6145529626153%2C%20%22zoom%22%3A%2020%7D")</f>
        <v>http://www.stromypodkontrolou.cz/map/?draw_selection_circle=1#%7B%22lat%22%3A%2049.6822306585172%2C%20%22lng%22%3A%2018.6145529626153%2C%20%22zoom%22%3A%2020%7D</v>
      </c>
      <c r="N620" s="5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</row>
    <row r="621" spans="1:14" s="3" customFormat="1" ht="25.5" customHeight="1">
      <c r="A621" s="9">
        <v>616</v>
      </c>
      <c r="B621" s="38" t="s">
        <v>361</v>
      </c>
      <c r="C621" s="41">
        <v>4</v>
      </c>
      <c r="D621" s="38" t="s">
        <v>161</v>
      </c>
      <c r="E621" s="38" t="s">
        <v>162</v>
      </c>
      <c r="F621" s="38">
        <v>64</v>
      </c>
      <c r="G621" s="38">
        <v>28</v>
      </c>
      <c r="H621" s="38">
        <v>9</v>
      </c>
      <c r="I621" s="38" t="s">
        <v>362</v>
      </c>
      <c r="J621" s="10" t="s">
        <v>97</v>
      </c>
      <c r="K621" s="10" t="s">
        <v>98</v>
      </c>
      <c r="L621" s="39"/>
      <c r="M621" s="38" t="str">
        <f>HYPERLINK("http://www.stromypodkontrolou.cz/map/?draw_selection_circle=1#%7B%22lat%22%3A%2049.6374082573%2C%20%22lng%22%3A%2018.6948224832%2C%20%22zoom%22%3A%2020%7D")</f>
        <v>http://www.stromypodkontrolou.cz/map/?draw_selection_circle=1#%7B%22lat%22%3A%2049.6374082573%2C%20%22lng%22%3A%2018.6948224832%2C%20%22zoom%22%3A%2020%7D</v>
      </c>
      <c r="N621" s="53"/>
    </row>
    <row r="622" spans="1:14" s="3" customFormat="1" ht="22.5">
      <c r="A622" s="9">
        <v>617</v>
      </c>
      <c r="B622" s="38"/>
      <c r="C622" s="41"/>
      <c r="D622" s="38"/>
      <c r="E622" s="38"/>
      <c r="F622" s="38"/>
      <c r="G622" s="38"/>
      <c r="H622" s="38"/>
      <c r="I622" s="38"/>
      <c r="J622" s="10" t="s">
        <v>25</v>
      </c>
      <c r="K622" s="10" t="s">
        <v>26</v>
      </c>
      <c r="L622" s="40" t="s">
        <v>57</v>
      </c>
      <c r="M622" s="38"/>
      <c r="N622" s="53"/>
    </row>
    <row r="623" spans="1:14" s="3" customFormat="1" ht="12.75">
      <c r="A623" s="33"/>
      <c r="B623" s="34"/>
      <c r="C623" s="35"/>
      <c r="D623" s="34"/>
      <c r="E623" s="34"/>
      <c r="F623" s="34"/>
      <c r="G623" s="34"/>
      <c r="H623" s="34"/>
      <c r="I623" s="34"/>
      <c r="J623" s="34"/>
      <c r="K623" s="34"/>
      <c r="L623" s="36"/>
      <c r="M623" s="37" t="s">
        <v>363</v>
      </c>
      <c r="N623" s="32">
        <f>SUM(N5:N622)</f>
        <v>0</v>
      </c>
    </row>
    <row r="626" spans="1:207" s="25" customFormat="1" ht="11.25">
      <c r="A626" s="25" t="s">
        <v>322</v>
      </c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  <c r="FJ626" s="26"/>
      <c r="FK626" s="26"/>
      <c r="FL626" s="26"/>
      <c r="FM626" s="26"/>
      <c r="FN626" s="26"/>
      <c r="FO626" s="26"/>
      <c r="FP626" s="26"/>
      <c r="FQ626" s="26"/>
      <c r="FR626" s="26"/>
      <c r="FS626" s="26"/>
      <c r="FT626" s="26"/>
      <c r="FU626" s="26"/>
      <c r="FV626" s="26"/>
      <c r="FW626" s="26"/>
      <c r="FX626" s="26"/>
      <c r="FY626" s="26"/>
      <c r="FZ626" s="26"/>
      <c r="GA626" s="26"/>
      <c r="GB626" s="26"/>
      <c r="GC626" s="26"/>
      <c r="GD626" s="26"/>
      <c r="GE626" s="26"/>
      <c r="GF626" s="26"/>
      <c r="GG626" s="26"/>
      <c r="GH626" s="26"/>
      <c r="GI626" s="26"/>
      <c r="GJ626" s="26"/>
      <c r="GK626" s="26"/>
      <c r="GL626" s="26"/>
      <c r="GM626" s="26"/>
      <c r="GN626" s="26"/>
      <c r="GO626" s="26"/>
      <c r="GP626" s="26"/>
      <c r="GQ626" s="26"/>
      <c r="GR626" s="26"/>
      <c r="GS626" s="26"/>
      <c r="GT626" s="26"/>
      <c r="GU626" s="26"/>
      <c r="GV626" s="26"/>
      <c r="GW626" s="26"/>
      <c r="GX626" s="26"/>
      <c r="GY626" s="26"/>
    </row>
    <row r="627" spans="1:207" s="25" customFormat="1" ht="11.25">
      <c r="A627" s="25" t="s">
        <v>323</v>
      </c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  <c r="FJ627" s="26"/>
      <c r="FK627" s="26"/>
      <c r="FL627" s="26"/>
      <c r="FM627" s="26"/>
      <c r="FN627" s="26"/>
      <c r="FO627" s="26"/>
      <c r="FP627" s="26"/>
      <c r="FQ627" s="26"/>
      <c r="FR627" s="26"/>
      <c r="FS627" s="26"/>
      <c r="FT627" s="26"/>
      <c r="FU627" s="26"/>
      <c r="FV627" s="26"/>
      <c r="FW627" s="26"/>
      <c r="FX627" s="26"/>
      <c r="FY627" s="26"/>
      <c r="FZ627" s="26"/>
      <c r="GA627" s="26"/>
      <c r="GB627" s="26"/>
      <c r="GC627" s="26"/>
      <c r="GD627" s="26"/>
      <c r="GE627" s="26"/>
      <c r="GF627" s="26"/>
      <c r="GG627" s="26"/>
      <c r="GH627" s="26"/>
      <c r="GI627" s="26"/>
      <c r="GJ627" s="26"/>
      <c r="GK627" s="26"/>
      <c r="GL627" s="26"/>
      <c r="GM627" s="26"/>
      <c r="GN627" s="26"/>
      <c r="GO627" s="26"/>
      <c r="GP627" s="26"/>
      <c r="GQ627" s="26"/>
      <c r="GR627" s="26"/>
      <c r="GS627" s="26"/>
      <c r="GT627" s="26"/>
      <c r="GU627" s="26"/>
      <c r="GV627" s="26"/>
      <c r="GW627" s="26"/>
      <c r="GX627" s="26"/>
      <c r="GY627" s="26"/>
    </row>
  </sheetData>
  <sheetProtection/>
  <mergeCells count="1925">
    <mergeCell ref="H608:H609"/>
    <mergeCell ref="I608:I609"/>
    <mergeCell ref="L608:L609"/>
    <mergeCell ref="M608:M609"/>
    <mergeCell ref="G600:G601"/>
    <mergeCell ref="H600:H601"/>
    <mergeCell ref="I600:I601"/>
    <mergeCell ref="M600:M601"/>
    <mergeCell ref="B608:B609"/>
    <mergeCell ref="C608:C609"/>
    <mergeCell ref="D608:D609"/>
    <mergeCell ref="E608:E609"/>
    <mergeCell ref="F608:F609"/>
    <mergeCell ref="G608:G609"/>
    <mergeCell ref="G598:G599"/>
    <mergeCell ref="H598:H599"/>
    <mergeCell ref="I598:I599"/>
    <mergeCell ref="M598:M599"/>
    <mergeCell ref="B600:B601"/>
    <mergeCell ref="C600:C601"/>
    <mergeCell ref="D600:D601"/>
    <mergeCell ref="E600:E601"/>
    <mergeCell ref="F600:F601"/>
    <mergeCell ref="H595:H596"/>
    <mergeCell ref="I595:I596"/>
    <mergeCell ref="M595:M596"/>
    <mergeCell ref="L595:L596"/>
    <mergeCell ref="L598:L599"/>
    <mergeCell ref="B598:B599"/>
    <mergeCell ref="C598:C599"/>
    <mergeCell ref="D598:D599"/>
    <mergeCell ref="E598:E599"/>
    <mergeCell ref="F598:F599"/>
    <mergeCell ref="I330:I331"/>
    <mergeCell ref="M330:M331"/>
    <mergeCell ref="M560:M561"/>
    <mergeCell ref="H448:H449"/>
    <mergeCell ref="I448:I449"/>
    <mergeCell ref="M448:M449"/>
    <mergeCell ref="M360:M362"/>
    <mergeCell ref="H553:H554"/>
    <mergeCell ref="I553:I554"/>
    <mergeCell ref="H408:H409"/>
    <mergeCell ref="B330:B331"/>
    <mergeCell ref="C330:C331"/>
    <mergeCell ref="D330:D331"/>
    <mergeCell ref="E330:E331"/>
    <mergeCell ref="F330:F331"/>
    <mergeCell ref="H330:H331"/>
    <mergeCell ref="G330:G331"/>
    <mergeCell ref="I408:I409"/>
    <mergeCell ref="M408:M409"/>
    <mergeCell ref="B448:B449"/>
    <mergeCell ref="C448:C449"/>
    <mergeCell ref="D448:D449"/>
    <mergeCell ref="E448:E449"/>
    <mergeCell ref="F448:F449"/>
    <mergeCell ref="G448:G449"/>
    <mergeCell ref="B408:B409"/>
    <mergeCell ref="C408:C409"/>
    <mergeCell ref="D408:D409"/>
    <mergeCell ref="E408:E409"/>
    <mergeCell ref="F408:F409"/>
    <mergeCell ref="G408:G409"/>
    <mergeCell ref="B410:B411"/>
    <mergeCell ref="C410:C411"/>
    <mergeCell ref="D410:D411"/>
    <mergeCell ref="E410:E411"/>
    <mergeCell ref="F410:F411"/>
    <mergeCell ref="G410:G411"/>
    <mergeCell ref="G583:G584"/>
    <mergeCell ref="H583:H584"/>
    <mergeCell ref="I583:I584"/>
    <mergeCell ref="M583:M584"/>
    <mergeCell ref="G63:G64"/>
    <mergeCell ref="H63:H64"/>
    <mergeCell ref="I63:I64"/>
    <mergeCell ref="M63:M64"/>
    <mergeCell ref="G177:G178"/>
    <mergeCell ref="H177:H178"/>
    <mergeCell ref="B583:B584"/>
    <mergeCell ref="C583:C584"/>
    <mergeCell ref="D583:D584"/>
    <mergeCell ref="E583:E584"/>
    <mergeCell ref="F583:F584"/>
    <mergeCell ref="I177:I178"/>
    <mergeCell ref="F177:F178"/>
    <mergeCell ref="B360:B362"/>
    <mergeCell ref="C360:C362"/>
    <mergeCell ref="D360:D362"/>
    <mergeCell ref="M177:M178"/>
    <mergeCell ref="B63:B64"/>
    <mergeCell ref="C63:C64"/>
    <mergeCell ref="D63:D64"/>
    <mergeCell ref="E63:E64"/>
    <mergeCell ref="F63:F64"/>
    <mergeCell ref="D177:D178"/>
    <mergeCell ref="E177:E178"/>
    <mergeCell ref="B177:B178"/>
    <mergeCell ref="C177:C178"/>
    <mergeCell ref="E360:E362"/>
    <mergeCell ref="F360:F362"/>
    <mergeCell ref="C244:C245"/>
    <mergeCell ref="D244:D245"/>
    <mergeCell ref="G360:G362"/>
    <mergeCell ref="H551:H552"/>
    <mergeCell ref="H244:H245"/>
    <mergeCell ref="F244:F245"/>
    <mergeCell ref="G244:G245"/>
    <mergeCell ref="H264:H265"/>
    <mergeCell ref="I551:I552"/>
    <mergeCell ref="M551:M552"/>
    <mergeCell ref="B282:B283"/>
    <mergeCell ref="C282:C283"/>
    <mergeCell ref="D282:D283"/>
    <mergeCell ref="E282:E283"/>
    <mergeCell ref="F282:F283"/>
    <mergeCell ref="B284:B285"/>
    <mergeCell ref="C284:C285"/>
    <mergeCell ref="D284:D285"/>
    <mergeCell ref="M553:M554"/>
    <mergeCell ref="B551:B552"/>
    <mergeCell ref="C551:C552"/>
    <mergeCell ref="D551:D552"/>
    <mergeCell ref="E551:E552"/>
    <mergeCell ref="F551:F552"/>
    <mergeCell ref="C553:C554"/>
    <mergeCell ref="D553:D554"/>
    <mergeCell ref="E553:E554"/>
    <mergeCell ref="G551:G552"/>
    <mergeCell ref="M27:M28"/>
    <mergeCell ref="B258:B259"/>
    <mergeCell ref="C258:C259"/>
    <mergeCell ref="D258:D259"/>
    <mergeCell ref="E258:E259"/>
    <mergeCell ref="F258:F259"/>
    <mergeCell ref="G258:G259"/>
    <mergeCell ref="H258:H259"/>
    <mergeCell ref="H228:H229"/>
    <mergeCell ref="I228:I229"/>
    <mergeCell ref="M228:M229"/>
    <mergeCell ref="B228:B229"/>
    <mergeCell ref="C228:C229"/>
    <mergeCell ref="D228:D229"/>
    <mergeCell ref="E228:E229"/>
    <mergeCell ref="F228:F229"/>
    <mergeCell ref="G228:G229"/>
    <mergeCell ref="M250:M251"/>
    <mergeCell ref="I246:I247"/>
    <mergeCell ref="M246:M247"/>
    <mergeCell ref="B250:B251"/>
    <mergeCell ref="C250:C251"/>
    <mergeCell ref="D250:D251"/>
    <mergeCell ref="E250:E251"/>
    <mergeCell ref="F250:F251"/>
    <mergeCell ref="G250:G251"/>
    <mergeCell ref="H250:H251"/>
    <mergeCell ref="M244:M245"/>
    <mergeCell ref="B246:B247"/>
    <mergeCell ref="C246:C247"/>
    <mergeCell ref="D246:D247"/>
    <mergeCell ref="E246:E247"/>
    <mergeCell ref="F246:F247"/>
    <mergeCell ref="G246:G247"/>
    <mergeCell ref="B244:B245"/>
    <mergeCell ref="E244:E245"/>
    <mergeCell ref="M242:M243"/>
    <mergeCell ref="G238:G239"/>
    <mergeCell ref="I238:I239"/>
    <mergeCell ref="M238:M239"/>
    <mergeCell ref="H235:H236"/>
    <mergeCell ref="I235:I236"/>
    <mergeCell ref="B242:B243"/>
    <mergeCell ref="C242:C243"/>
    <mergeCell ref="D242:D243"/>
    <mergeCell ref="E242:E243"/>
    <mergeCell ref="F242:F243"/>
    <mergeCell ref="G242:G243"/>
    <mergeCell ref="H230:H231"/>
    <mergeCell ref="I230:I231"/>
    <mergeCell ref="M230:M231"/>
    <mergeCell ref="B235:B236"/>
    <mergeCell ref="C235:C236"/>
    <mergeCell ref="D235:D236"/>
    <mergeCell ref="E235:E236"/>
    <mergeCell ref="F235:F236"/>
    <mergeCell ref="G235:G236"/>
    <mergeCell ref="M235:M236"/>
    <mergeCell ref="B230:B231"/>
    <mergeCell ref="C230:C231"/>
    <mergeCell ref="D230:D231"/>
    <mergeCell ref="E230:E231"/>
    <mergeCell ref="F230:F231"/>
    <mergeCell ref="G230:G231"/>
    <mergeCell ref="I215:I216"/>
    <mergeCell ref="M215:M216"/>
    <mergeCell ref="H218:H220"/>
    <mergeCell ref="I218:I220"/>
    <mergeCell ref="H223:H224"/>
    <mergeCell ref="I223:I224"/>
    <mergeCell ref="M223:M224"/>
    <mergeCell ref="M218:M220"/>
    <mergeCell ref="B218:B220"/>
    <mergeCell ref="C218:C220"/>
    <mergeCell ref="D218:D220"/>
    <mergeCell ref="E218:E220"/>
    <mergeCell ref="F218:F220"/>
    <mergeCell ref="G218:G220"/>
    <mergeCell ref="H210:H211"/>
    <mergeCell ref="I210:I211"/>
    <mergeCell ref="M210:M211"/>
    <mergeCell ref="B215:B216"/>
    <mergeCell ref="C215:C216"/>
    <mergeCell ref="D215:D216"/>
    <mergeCell ref="E215:E216"/>
    <mergeCell ref="F215:F216"/>
    <mergeCell ref="G215:G216"/>
    <mergeCell ref="H215:H216"/>
    <mergeCell ref="B210:B211"/>
    <mergeCell ref="C210:C211"/>
    <mergeCell ref="D210:D211"/>
    <mergeCell ref="E210:E211"/>
    <mergeCell ref="F210:F211"/>
    <mergeCell ref="G210:G211"/>
    <mergeCell ref="M206:M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M208:M209"/>
    <mergeCell ref="I202:I204"/>
    <mergeCell ref="M202:M204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H199:H201"/>
    <mergeCell ref="I199:I201"/>
    <mergeCell ref="M199:M201"/>
    <mergeCell ref="B202:B204"/>
    <mergeCell ref="C202:C204"/>
    <mergeCell ref="D202:D204"/>
    <mergeCell ref="E202:E204"/>
    <mergeCell ref="F202:F204"/>
    <mergeCell ref="G202:G204"/>
    <mergeCell ref="H202:H204"/>
    <mergeCell ref="B199:B201"/>
    <mergeCell ref="C199:C201"/>
    <mergeCell ref="D199:D201"/>
    <mergeCell ref="E199:E201"/>
    <mergeCell ref="F199:F201"/>
    <mergeCell ref="G199:G201"/>
    <mergeCell ref="M194:M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M196:M197"/>
    <mergeCell ref="I191:I193"/>
    <mergeCell ref="M191:M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H189:H190"/>
    <mergeCell ref="I189:I190"/>
    <mergeCell ref="M189:M190"/>
    <mergeCell ref="B191:B193"/>
    <mergeCell ref="C191:C193"/>
    <mergeCell ref="D191:D193"/>
    <mergeCell ref="E191:E193"/>
    <mergeCell ref="F191:F193"/>
    <mergeCell ref="G191:G193"/>
    <mergeCell ref="H191:H193"/>
    <mergeCell ref="B189:B190"/>
    <mergeCell ref="C189:C190"/>
    <mergeCell ref="D189:D190"/>
    <mergeCell ref="E189:E190"/>
    <mergeCell ref="F189:F190"/>
    <mergeCell ref="G189:G190"/>
    <mergeCell ref="M185:M186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M187:M188"/>
    <mergeCell ref="I181:I182"/>
    <mergeCell ref="M181:M182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H179:H180"/>
    <mergeCell ref="I179:I180"/>
    <mergeCell ref="M179:M180"/>
    <mergeCell ref="B181:B182"/>
    <mergeCell ref="C181:C182"/>
    <mergeCell ref="D181:D182"/>
    <mergeCell ref="E181:E182"/>
    <mergeCell ref="F181:F182"/>
    <mergeCell ref="G181:G182"/>
    <mergeCell ref="H181:H182"/>
    <mergeCell ref="B179:B180"/>
    <mergeCell ref="C179:C180"/>
    <mergeCell ref="D179:D180"/>
    <mergeCell ref="E179:E180"/>
    <mergeCell ref="F179:F180"/>
    <mergeCell ref="G179:G180"/>
    <mergeCell ref="M165:M166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M167:M168"/>
    <mergeCell ref="I163:I164"/>
    <mergeCell ref="M163:M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H161:H162"/>
    <mergeCell ref="I161:I162"/>
    <mergeCell ref="M161:M162"/>
    <mergeCell ref="B163:B164"/>
    <mergeCell ref="C163:C164"/>
    <mergeCell ref="D163:D164"/>
    <mergeCell ref="E163:E164"/>
    <mergeCell ref="F163:F164"/>
    <mergeCell ref="G163:G164"/>
    <mergeCell ref="H163:H164"/>
    <mergeCell ref="B161:B162"/>
    <mergeCell ref="C161:C162"/>
    <mergeCell ref="D161:D162"/>
    <mergeCell ref="E161:E162"/>
    <mergeCell ref="F161:F162"/>
    <mergeCell ref="G161:G162"/>
    <mergeCell ref="M157:M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M159:M160"/>
    <mergeCell ref="I149:I150"/>
    <mergeCell ref="M149:M150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H147:H148"/>
    <mergeCell ref="I147:I148"/>
    <mergeCell ref="M147:M148"/>
    <mergeCell ref="B149:B150"/>
    <mergeCell ref="C149:C150"/>
    <mergeCell ref="D149:D150"/>
    <mergeCell ref="E149:E150"/>
    <mergeCell ref="F149:F150"/>
    <mergeCell ref="G149:G150"/>
    <mergeCell ref="H149:H150"/>
    <mergeCell ref="B147:B148"/>
    <mergeCell ref="C147:C148"/>
    <mergeCell ref="D147:D148"/>
    <mergeCell ref="E147:E148"/>
    <mergeCell ref="F147:F148"/>
    <mergeCell ref="G147:G148"/>
    <mergeCell ref="M137:M138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M142:M144"/>
    <mergeCell ref="I135:I136"/>
    <mergeCell ref="M135:M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H129:H130"/>
    <mergeCell ref="I129:I130"/>
    <mergeCell ref="M129:M130"/>
    <mergeCell ref="B135:B136"/>
    <mergeCell ref="C135:C136"/>
    <mergeCell ref="D135:D136"/>
    <mergeCell ref="E135:E136"/>
    <mergeCell ref="F135:F136"/>
    <mergeCell ref="G135:G136"/>
    <mergeCell ref="H135:H136"/>
    <mergeCell ref="B129:B130"/>
    <mergeCell ref="C129:C130"/>
    <mergeCell ref="D129:D130"/>
    <mergeCell ref="E129:E130"/>
    <mergeCell ref="F129:F130"/>
    <mergeCell ref="G129:G130"/>
    <mergeCell ref="M127:M12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M155:M156"/>
    <mergeCell ref="I123:I124"/>
    <mergeCell ref="M123:M124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H121:H122"/>
    <mergeCell ref="I121:I122"/>
    <mergeCell ref="M121:M122"/>
    <mergeCell ref="B123:B124"/>
    <mergeCell ref="C123:C124"/>
    <mergeCell ref="D123:D124"/>
    <mergeCell ref="E123:E124"/>
    <mergeCell ref="F123:F124"/>
    <mergeCell ref="G123:G124"/>
    <mergeCell ref="H123:H124"/>
    <mergeCell ref="B121:B122"/>
    <mergeCell ref="C121:C122"/>
    <mergeCell ref="D121:D122"/>
    <mergeCell ref="E121:E122"/>
    <mergeCell ref="F121:F122"/>
    <mergeCell ref="G121:G122"/>
    <mergeCell ref="M113:M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M117:M118"/>
    <mergeCell ref="I110:I111"/>
    <mergeCell ref="M110:M111"/>
    <mergeCell ref="C113:C116"/>
    <mergeCell ref="B113:B116"/>
    <mergeCell ref="D113:D116"/>
    <mergeCell ref="E113:E116"/>
    <mergeCell ref="F113:F116"/>
    <mergeCell ref="G113:G116"/>
    <mergeCell ref="H113:H116"/>
    <mergeCell ref="I113:I116"/>
    <mergeCell ref="B110:B111"/>
    <mergeCell ref="C110:C111"/>
    <mergeCell ref="D110:D111"/>
    <mergeCell ref="E110:E111"/>
    <mergeCell ref="F110:F111"/>
    <mergeCell ref="G110:G111"/>
    <mergeCell ref="B107:B108"/>
    <mergeCell ref="C107:C108"/>
    <mergeCell ref="D107:D108"/>
    <mergeCell ref="E107:E108"/>
    <mergeCell ref="F107:F108"/>
    <mergeCell ref="G107:G108"/>
    <mergeCell ref="M101:M102"/>
    <mergeCell ref="F483:F484"/>
    <mergeCell ref="G483:G484"/>
    <mergeCell ref="H483:H484"/>
    <mergeCell ref="I483:I484"/>
    <mergeCell ref="M483:M484"/>
    <mergeCell ref="H107:H108"/>
    <mergeCell ref="I107:I108"/>
    <mergeCell ref="M107:M108"/>
    <mergeCell ref="H110:H111"/>
    <mergeCell ref="I99:I100"/>
    <mergeCell ref="M99:M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G93:G94"/>
    <mergeCell ref="H93:H94"/>
    <mergeCell ref="I93:I94"/>
    <mergeCell ref="M93:M94"/>
    <mergeCell ref="B97:B98"/>
    <mergeCell ref="C97:C98"/>
    <mergeCell ref="D97:D98"/>
    <mergeCell ref="E97:E98"/>
    <mergeCell ref="F97:F98"/>
    <mergeCell ref="G97:G98"/>
    <mergeCell ref="C5:C6"/>
    <mergeCell ref="D5:D6"/>
    <mergeCell ref="E5:E6"/>
    <mergeCell ref="F5:F6"/>
    <mergeCell ref="G5:G6"/>
    <mergeCell ref="B93:B94"/>
    <mergeCell ref="C93:C94"/>
    <mergeCell ref="D93:D94"/>
    <mergeCell ref="E93:E94"/>
    <mergeCell ref="F93:F94"/>
    <mergeCell ref="H5:H6"/>
    <mergeCell ref="I5:I6"/>
    <mergeCell ref="M5:M6"/>
    <mergeCell ref="C8:C9"/>
    <mergeCell ref="B8:B9"/>
    <mergeCell ref="D8:D9"/>
    <mergeCell ref="E8:E9"/>
    <mergeCell ref="F8:F9"/>
    <mergeCell ref="G8:G9"/>
    <mergeCell ref="B5:B6"/>
    <mergeCell ref="H8:H9"/>
    <mergeCell ref="I8:I9"/>
    <mergeCell ref="M8:M9"/>
    <mergeCell ref="B10:B11"/>
    <mergeCell ref="C10:C11"/>
    <mergeCell ref="D10:D11"/>
    <mergeCell ref="E10:E11"/>
    <mergeCell ref="F10:F11"/>
    <mergeCell ref="G10:G11"/>
    <mergeCell ref="H10:H11"/>
    <mergeCell ref="M10:M11"/>
    <mergeCell ref="C12:C13"/>
    <mergeCell ref="B12:B13"/>
    <mergeCell ref="D12:D13"/>
    <mergeCell ref="E12:E13"/>
    <mergeCell ref="F12:F13"/>
    <mergeCell ref="G12:G13"/>
    <mergeCell ref="H12:H13"/>
    <mergeCell ref="I12:I13"/>
    <mergeCell ref="M12:M13"/>
    <mergeCell ref="C14:C15"/>
    <mergeCell ref="B14:B15"/>
    <mergeCell ref="D14:D15"/>
    <mergeCell ref="E14:E15"/>
    <mergeCell ref="F14:F15"/>
    <mergeCell ref="G14:G15"/>
    <mergeCell ref="H14:H15"/>
    <mergeCell ref="M14:M15"/>
    <mergeCell ref="C16:C17"/>
    <mergeCell ref="B16:B17"/>
    <mergeCell ref="D16:D17"/>
    <mergeCell ref="E16:E17"/>
    <mergeCell ref="F16:F17"/>
    <mergeCell ref="G16:G17"/>
    <mergeCell ref="H16:H17"/>
    <mergeCell ref="I16:I17"/>
    <mergeCell ref="M16:M17"/>
    <mergeCell ref="C20:C21"/>
    <mergeCell ref="B20:B21"/>
    <mergeCell ref="D20:D21"/>
    <mergeCell ref="E20:E21"/>
    <mergeCell ref="F20:F21"/>
    <mergeCell ref="G20:G21"/>
    <mergeCell ref="H20:H21"/>
    <mergeCell ref="B18:B19"/>
    <mergeCell ref="D18:D19"/>
    <mergeCell ref="C22:C24"/>
    <mergeCell ref="B22:B24"/>
    <mergeCell ref="D22:D24"/>
    <mergeCell ref="E22:E24"/>
    <mergeCell ref="F22:F24"/>
    <mergeCell ref="G22:G24"/>
    <mergeCell ref="F25:F26"/>
    <mergeCell ref="G25:G26"/>
    <mergeCell ref="H25:H26"/>
    <mergeCell ref="M25:M26"/>
    <mergeCell ref="I20:I21"/>
    <mergeCell ref="M20:M21"/>
    <mergeCell ref="H22:H24"/>
    <mergeCell ref="I22:I24"/>
    <mergeCell ref="B29:B30"/>
    <mergeCell ref="D29:D30"/>
    <mergeCell ref="E29:E30"/>
    <mergeCell ref="F29:F30"/>
    <mergeCell ref="G29:G30"/>
    <mergeCell ref="M22:M24"/>
    <mergeCell ref="C25:C26"/>
    <mergeCell ref="B25:B26"/>
    <mergeCell ref="D25:D26"/>
    <mergeCell ref="E25:E26"/>
    <mergeCell ref="H29:H30"/>
    <mergeCell ref="I29:I30"/>
    <mergeCell ref="M29:M30"/>
    <mergeCell ref="C31:C32"/>
    <mergeCell ref="B31:B32"/>
    <mergeCell ref="D31:D32"/>
    <mergeCell ref="E31:E32"/>
    <mergeCell ref="F31:F32"/>
    <mergeCell ref="G31:G32"/>
    <mergeCell ref="C29:C30"/>
    <mergeCell ref="H31:H32"/>
    <mergeCell ref="I31:I32"/>
    <mergeCell ref="M31:M32"/>
    <mergeCell ref="C33:C34"/>
    <mergeCell ref="B33:B34"/>
    <mergeCell ref="D33:D34"/>
    <mergeCell ref="E33:E34"/>
    <mergeCell ref="F33:F34"/>
    <mergeCell ref="G33:G34"/>
    <mergeCell ref="H33:H34"/>
    <mergeCell ref="I33:I34"/>
    <mergeCell ref="M33:M34"/>
    <mergeCell ref="C36:C37"/>
    <mergeCell ref="B36:B37"/>
    <mergeCell ref="D36:D37"/>
    <mergeCell ref="E36:E37"/>
    <mergeCell ref="F36:F37"/>
    <mergeCell ref="G36:G37"/>
    <mergeCell ref="H36:H37"/>
    <mergeCell ref="I36:I37"/>
    <mergeCell ref="M36:M37"/>
    <mergeCell ref="C38:C39"/>
    <mergeCell ref="B38:B39"/>
    <mergeCell ref="D38:D39"/>
    <mergeCell ref="E38:E39"/>
    <mergeCell ref="F38:F39"/>
    <mergeCell ref="G38:G39"/>
    <mergeCell ref="H38:H39"/>
    <mergeCell ref="I38:I39"/>
    <mergeCell ref="M38:M39"/>
    <mergeCell ref="B45:B46"/>
    <mergeCell ref="D45:D46"/>
    <mergeCell ref="E45:E46"/>
    <mergeCell ref="F45:F46"/>
    <mergeCell ref="G45:G46"/>
    <mergeCell ref="C43:C44"/>
    <mergeCell ref="B43:B44"/>
    <mergeCell ref="D43:D44"/>
    <mergeCell ref="E43:E44"/>
    <mergeCell ref="F43:F44"/>
    <mergeCell ref="I43:I44"/>
    <mergeCell ref="M43:M44"/>
    <mergeCell ref="H45:H46"/>
    <mergeCell ref="I45:I46"/>
    <mergeCell ref="H43:H44"/>
    <mergeCell ref="C45:C46"/>
    <mergeCell ref="G43:G44"/>
    <mergeCell ref="M45:M46"/>
    <mergeCell ref="C47:C48"/>
    <mergeCell ref="B47:B48"/>
    <mergeCell ref="D47:D48"/>
    <mergeCell ref="E47:E48"/>
    <mergeCell ref="F47:F48"/>
    <mergeCell ref="G47:G48"/>
    <mergeCell ref="H47:H48"/>
    <mergeCell ref="I47:I48"/>
    <mergeCell ref="M47:M48"/>
    <mergeCell ref="H61:H62"/>
    <mergeCell ref="B55:B56"/>
    <mergeCell ref="D55:D56"/>
    <mergeCell ref="E55:E56"/>
    <mergeCell ref="F55:F56"/>
    <mergeCell ref="G55:G56"/>
    <mergeCell ref="H55:H56"/>
    <mergeCell ref="I55:I56"/>
    <mergeCell ref="M55:M56"/>
    <mergeCell ref="C61:C62"/>
    <mergeCell ref="C55:C56"/>
    <mergeCell ref="B61:B62"/>
    <mergeCell ref="D61:D62"/>
    <mergeCell ref="E61:E62"/>
    <mergeCell ref="F61:F62"/>
    <mergeCell ref="G61:G62"/>
    <mergeCell ref="I61:I62"/>
    <mergeCell ref="M61:M62"/>
    <mergeCell ref="B66:B67"/>
    <mergeCell ref="C66:C67"/>
    <mergeCell ref="D66:D67"/>
    <mergeCell ref="E66:E67"/>
    <mergeCell ref="F66:F67"/>
    <mergeCell ref="G66:G67"/>
    <mergeCell ref="H66:H67"/>
    <mergeCell ref="I66:I67"/>
    <mergeCell ref="F76:F77"/>
    <mergeCell ref="G76:G77"/>
    <mergeCell ref="M66:M67"/>
    <mergeCell ref="I76:I77"/>
    <mergeCell ref="M76:M77"/>
    <mergeCell ref="H442:H443"/>
    <mergeCell ref="I442:I443"/>
    <mergeCell ref="M442:M443"/>
    <mergeCell ref="I82:I83"/>
    <mergeCell ref="G82:G83"/>
    <mergeCell ref="B76:B77"/>
    <mergeCell ref="C76:C77"/>
    <mergeCell ref="B82:B83"/>
    <mergeCell ref="C82:C83"/>
    <mergeCell ref="D82:D83"/>
    <mergeCell ref="E82:E83"/>
    <mergeCell ref="D76:D77"/>
    <mergeCell ref="E76:E77"/>
    <mergeCell ref="B252:B253"/>
    <mergeCell ref="C252:C253"/>
    <mergeCell ref="D252:D253"/>
    <mergeCell ref="E252:E253"/>
    <mergeCell ref="F252:F253"/>
    <mergeCell ref="G252:G253"/>
    <mergeCell ref="B254:B255"/>
    <mergeCell ref="C254:C255"/>
    <mergeCell ref="D254:D255"/>
    <mergeCell ref="I266:I268"/>
    <mergeCell ref="H252:H253"/>
    <mergeCell ref="I252:I253"/>
    <mergeCell ref="C261:C262"/>
    <mergeCell ref="D261:D262"/>
    <mergeCell ref="E261:E262"/>
    <mergeCell ref="F261:F262"/>
    <mergeCell ref="M252:M253"/>
    <mergeCell ref="B264:B265"/>
    <mergeCell ref="C264:C265"/>
    <mergeCell ref="D264:D265"/>
    <mergeCell ref="E264:E265"/>
    <mergeCell ref="F264:F265"/>
    <mergeCell ref="G264:G265"/>
    <mergeCell ref="I258:I259"/>
    <mergeCell ref="G261:G262"/>
    <mergeCell ref="B261:B262"/>
    <mergeCell ref="M269:M271"/>
    <mergeCell ref="I264:I265"/>
    <mergeCell ref="M264:M265"/>
    <mergeCell ref="B266:B268"/>
    <mergeCell ref="C266:C268"/>
    <mergeCell ref="D266:D268"/>
    <mergeCell ref="E266:E268"/>
    <mergeCell ref="F266:F268"/>
    <mergeCell ref="G266:G268"/>
    <mergeCell ref="H266:H268"/>
    <mergeCell ref="H272:H274"/>
    <mergeCell ref="M266:M268"/>
    <mergeCell ref="B269:B271"/>
    <mergeCell ref="C269:C271"/>
    <mergeCell ref="D269:D271"/>
    <mergeCell ref="E269:E271"/>
    <mergeCell ref="F269:F271"/>
    <mergeCell ref="G269:G271"/>
    <mergeCell ref="H269:H271"/>
    <mergeCell ref="I269:I271"/>
    <mergeCell ref="B272:B274"/>
    <mergeCell ref="C272:C274"/>
    <mergeCell ref="D272:D274"/>
    <mergeCell ref="E272:E274"/>
    <mergeCell ref="F272:F274"/>
    <mergeCell ref="G272:G274"/>
    <mergeCell ref="I272:I274"/>
    <mergeCell ref="M272:M274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M275:M276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M279:M280"/>
    <mergeCell ref="E284:E285"/>
    <mergeCell ref="F284:F285"/>
    <mergeCell ref="G284:G285"/>
    <mergeCell ref="H284:H285"/>
    <mergeCell ref="I284:I285"/>
    <mergeCell ref="M284:M285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M277:M278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M286:M287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M301:M302"/>
    <mergeCell ref="G282:G283"/>
    <mergeCell ref="H282:H283"/>
    <mergeCell ref="I282:I283"/>
    <mergeCell ref="M282:M283"/>
    <mergeCell ref="B299:B300"/>
    <mergeCell ref="C299:C300"/>
    <mergeCell ref="D299:D300"/>
    <mergeCell ref="E299:E300"/>
    <mergeCell ref="F299:F300"/>
    <mergeCell ref="G299:G300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M306:M307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M309:M310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M317:M318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M319:M320"/>
    <mergeCell ref="B321:B323"/>
    <mergeCell ref="C321:C323"/>
    <mergeCell ref="D321:D323"/>
    <mergeCell ref="E321:E323"/>
    <mergeCell ref="F321:F323"/>
    <mergeCell ref="G321:G323"/>
    <mergeCell ref="H321:H323"/>
    <mergeCell ref="I321:I323"/>
    <mergeCell ref="M321:M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M325:M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M327:M328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M336:M337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M338:M339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M340:M342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M346:M347"/>
    <mergeCell ref="B348:B349"/>
    <mergeCell ref="C348:C349"/>
    <mergeCell ref="D348:D349"/>
    <mergeCell ref="E348:E349"/>
    <mergeCell ref="F348:F349"/>
    <mergeCell ref="G348:G349"/>
    <mergeCell ref="L348:L349"/>
    <mergeCell ref="I353:I354"/>
    <mergeCell ref="H348:H349"/>
    <mergeCell ref="I348:I349"/>
    <mergeCell ref="M348:M349"/>
    <mergeCell ref="M355:M356"/>
    <mergeCell ref="B353:B354"/>
    <mergeCell ref="C353:C354"/>
    <mergeCell ref="D353:D354"/>
    <mergeCell ref="E353:E354"/>
    <mergeCell ref="F353:F354"/>
    <mergeCell ref="G353:G354"/>
    <mergeCell ref="H353:H354"/>
    <mergeCell ref="G385:G386"/>
    <mergeCell ref="M353:M354"/>
    <mergeCell ref="B355:B356"/>
    <mergeCell ref="C355:C356"/>
    <mergeCell ref="D355:D356"/>
    <mergeCell ref="E355:E356"/>
    <mergeCell ref="F355:F356"/>
    <mergeCell ref="G355:G356"/>
    <mergeCell ref="B358:B359"/>
    <mergeCell ref="C358:C359"/>
    <mergeCell ref="D358:D359"/>
    <mergeCell ref="E358:E359"/>
    <mergeCell ref="F358:F359"/>
    <mergeCell ref="G358:G359"/>
    <mergeCell ref="C365:C366"/>
    <mergeCell ref="D365:D366"/>
    <mergeCell ref="E365:E366"/>
    <mergeCell ref="F365:F366"/>
    <mergeCell ref="H355:H356"/>
    <mergeCell ref="I355:I356"/>
    <mergeCell ref="H358:H359"/>
    <mergeCell ref="I358:I359"/>
    <mergeCell ref="H360:H362"/>
    <mergeCell ref="I360:I362"/>
    <mergeCell ref="I370:I371"/>
    <mergeCell ref="H365:H366"/>
    <mergeCell ref="I365:I366"/>
    <mergeCell ref="M365:M366"/>
    <mergeCell ref="B385:B386"/>
    <mergeCell ref="C385:C386"/>
    <mergeCell ref="D385:D386"/>
    <mergeCell ref="E385:E386"/>
    <mergeCell ref="F385:F386"/>
    <mergeCell ref="B365:B366"/>
    <mergeCell ref="M358:M359"/>
    <mergeCell ref="M370:M371"/>
    <mergeCell ref="B370:B371"/>
    <mergeCell ref="C370:C371"/>
    <mergeCell ref="D370:D371"/>
    <mergeCell ref="E370:E371"/>
    <mergeCell ref="F370:F371"/>
    <mergeCell ref="G370:G371"/>
    <mergeCell ref="G365:G366"/>
    <mergeCell ref="H370:H371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M375:M376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M382:M384"/>
    <mergeCell ref="H385:H386"/>
    <mergeCell ref="I385:I386"/>
    <mergeCell ref="M385:M386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M390:M391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M392:M393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M398:M399"/>
    <mergeCell ref="B401:B402"/>
    <mergeCell ref="C401:C402"/>
    <mergeCell ref="D401:D402"/>
    <mergeCell ref="E401:E402"/>
    <mergeCell ref="F401:F402"/>
    <mergeCell ref="G401:G402"/>
    <mergeCell ref="H401:H402"/>
    <mergeCell ref="I401:I402"/>
    <mergeCell ref="M401:M402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M403:M404"/>
    <mergeCell ref="H410:H411"/>
    <mergeCell ref="I410:I411"/>
    <mergeCell ref="M410:M411"/>
    <mergeCell ref="B412:B414"/>
    <mergeCell ref="C412:C414"/>
    <mergeCell ref="D412:D414"/>
    <mergeCell ref="E412:E414"/>
    <mergeCell ref="F412:F414"/>
    <mergeCell ref="G412:G414"/>
    <mergeCell ref="H412:H414"/>
    <mergeCell ref="I412:I414"/>
    <mergeCell ref="M412:M414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M415:M416"/>
    <mergeCell ref="B417:B419"/>
    <mergeCell ref="C417:C419"/>
    <mergeCell ref="D417:D419"/>
    <mergeCell ref="E417:E419"/>
    <mergeCell ref="F417:F419"/>
    <mergeCell ref="G417:G419"/>
    <mergeCell ref="H417:H419"/>
    <mergeCell ref="I417:I419"/>
    <mergeCell ref="M417:M419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M420:M42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M427:M428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M437:M438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M440:M44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M450:M451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M452:M453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M454:M455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M458:M459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M456:M457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M460:M461"/>
    <mergeCell ref="B462:B464"/>
    <mergeCell ref="C462:C464"/>
    <mergeCell ref="D462:D464"/>
    <mergeCell ref="E462:E464"/>
    <mergeCell ref="F462:F464"/>
    <mergeCell ref="G462:G464"/>
    <mergeCell ref="H462:H464"/>
    <mergeCell ref="I462:I464"/>
    <mergeCell ref="M462:M464"/>
    <mergeCell ref="B465:B467"/>
    <mergeCell ref="C465:C467"/>
    <mergeCell ref="D465:D467"/>
    <mergeCell ref="E465:E467"/>
    <mergeCell ref="F465:F467"/>
    <mergeCell ref="G465:G467"/>
    <mergeCell ref="H465:H467"/>
    <mergeCell ref="I465:I467"/>
    <mergeCell ref="M465:M467"/>
    <mergeCell ref="B468:B469"/>
    <mergeCell ref="C468:C469"/>
    <mergeCell ref="D468:D469"/>
    <mergeCell ref="E468:E469"/>
    <mergeCell ref="F468:F469"/>
    <mergeCell ref="G468:G469"/>
    <mergeCell ref="I468:I469"/>
    <mergeCell ref="M468:M469"/>
    <mergeCell ref="H468:H469"/>
    <mergeCell ref="F470:F471"/>
    <mergeCell ref="G470:G471"/>
    <mergeCell ref="C476:C477"/>
    <mergeCell ref="D476:D477"/>
    <mergeCell ref="E476:E477"/>
    <mergeCell ref="F476:F477"/>
    <mergeCell ref="G476:G477"/>
    <mergeCell ref="C473:C475"/>
    <mergeCell ref="M480:M481"/>
    <mergeCell ref="I470:I471"/>
    <mergeCell ref="M470:M471"/>
    <mergeCell ref="I476:I477"/>
    <mergeCell ref="M476:M477"/>
    <mergeCell ref="H470:H471"/>
    <mergeCell ref="C470:C471"/>
    <mergeCell ref="D470:D471"/>
    <mergeCell ref="E470:E471"/>
    <mergeCell ref="H476:H477"/>
    <mergeCell ref="H480:H481"/>
    <mergeCell ref="I473:I475"/>
    <mergeCell ref="M473:M475"/>
    <mergeCell ref="I480:I481"/>
    <mergeCell ref="D473:D475"/>
    <mergeCell ref="E473:E475"/>
    <mergeCell ref="D483:D484"/>
    <mergeCell ref="E483:E484"/>
    <mergeCell ref="F473:F475"/>
    <mergeCell ref="G473:G475"/>
    <mergeCell ref="H473:H475"/>
    <mergeCell ref="C480:C481"/>
    <mergeCell ref="D480:D481"/>
    <mergeCell ref="E480:E481"/>
    <mergeCell ref="F480:F481"/>
    <mergeCell ref="G480:G481"/>
    <mergeCell ref="B485:B486"/>
    <mergeCell ref="C485:C486"/>
    <mergeCell ref="D485:D486"/>
    <mergeCell ref="E485:E486"/>
    <mergeCell ref="F485:F486"/>
    <mergeCell ref="G485:G486"/>
    <mergeCell ref="H485:H486"/>
    <mergeCell ref="C483:C484"/>
    <mergeCell ref="I485:I486"/>
    <mergeCell ref="M485:M486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M487:M488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M491:M492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M495:M496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M499:M500"/>
    <mergeCell ref="B489:B490"/>
    <mergeCell ref="C489:C490"/>
    <mergeCell ref="D489:D490"/>
    <mergeCell ref="E489:E490"/>
    <mergeCell ref="F489:F490"/>
    <mergeCell ref="G489:G490"/>
    <mergeCell ref="H489:H490"/>
    <mergeCell ref="I489:I490"/>
    <mergeCell ref="M489:M490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M493:M494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M497:M498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M501:M502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M503:M504"/>
    <mergeCell ref="B508:B509"/>
    <mergeCell ref="C508:C509"/>
    <mergeCell ref="D508:D509"/>
    <mergeCell ref="E508:E509"/>
    <mergeCell ref="F508:F509"/>
    <mergeCell ref="G508:G509"/>
    <mergeCell ref="H506:H507"/>
    <mergeCell ref="I506:I507"/>
    <mergeCell ref="M506:M507"/>
    <mergeCell ref="B514:B515"/>
    <mergeCell ref="C514:C515"/>
    <mergeCell ref="D514:D515"/>
    <mergeCell ref="E514:E515"/>
    <mergeCell ref="F514:F515"/>
    <mergeCell ref="G514:G515"/>
    <mergeCell ref="I514:I515"/>
    <mergeCell ref="M514:M515"/>
    <mergeCell ref="H508:H509"/>
    <mergeCell ref="I508:I509"/>
    <mergeCell ref="M508:M509"/>
    <mergeCell ref="H514:H515"/>
    <mergeCell ref="H511:H513"/>
    <mergeCell ref="I511:I513"/>
    <mergeCell ref="M511:M513"/>
    <mergeCell ref="B506:B507"/>
    <mergeCell ref="C506:C507"/>
    <mergeCell ref="D506:D507"/>
    <mergeCell ref="E506:E507"/>
    <mergeCell ref="F506:F507"/>
    <mergeCell ref="G506:G507"/>
    <mergeCell ref="B511:B513"/>
    <mergeCell ref="C511:C513"/>
    <mergeCell ref="D511:D513"/>
    <mergeCell ref="E511:E513"/>
    <mergeCell ref="F511:F513"/>
    <mergeCell ref="G511:G513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M516:M517"/>
    <mergeCell ref="B518:B519"/>
    <mergeCell ref="C518:C519"/>
    <mergeCell ref="D518:D519"/>
    <mergeCell ref="E518:E519"/>
    <mergeCell ref="F518:F519"/>
    <mergeCell ref="G518:G519"/>
    <mergeCell ref="H518:H519"/>
    <mergeCell ref="M518:M519"/>
    <mergeCell ref="B524:B525"/>
    <mergeCell ref="C524:C525"/>
    <mergeCell ref="D524:D525"/>
    <mergeCell ref="E524:E525"/>
    <mergeCell ref="F524:F525"/>
    <mergeCell ref="G524:G525"/>
    <mergeCell ref="B522:B523"/>
    <mergeCell ref="C522:C523"/>
    <mergeCell ref="M524:M525"/>
    <mergeCell ref="E522:E523"/>
    <mergeCell ref="F522:F523"/>
    <mergeCell ref="I518:I519"/>
    <mergeCell ref="H524:H525"/>
    <mergeCell ref="I524:I525"/>
    <mergeCell ref="H526:H527"/>
    <mergeCell ref="G526:G527"/>
    <mergeCell ref="I526:I527"/>
    <mergeCell ref="I522:I523"/>
    <mergeCell ref="M526:M527"/>
    <mergeCell ref="I535:I536"/>
    <mergeCell ref="D526:D527"/>
    <mergeCell ref="E526:E527"/>
    <mergeCell ref="F526:F527"/>
    <mergeCell ref="F535:F536"/>
    <mergeCell ref="G535:G536"/>
    <mergeCell ref="H535:H536"/>
    <mergeCell ref="H533:H534"/>
    <mergeCell ref="I533:I534"/>
    <mergeCell ref="M533:M534"/>
    <mergeCell ref="E543:E544"/>
    <mergeCell ref="F543:F544"/>
    <mergeCell ref="G543:G544"/>
    <mergeCell ref="G539:G540"/>
    <mergeCell ref="H539:H540"/>
    <mergeCell ref="I539:I540"/>
    <mergeCell ref="F533:F534"/>
    <mergeCell ref="E539:E540"/>
    <mergeCell ref="E541:E542"/>
    <mergeCell ref="M522:M523"/>
    <mergeCell ref="H543:H544"/>
    <mergeCell ref="I543:I544"/>
    <mergeCell ref="M543:M544"/>
    <mergeCell ref="H522:H523"/>
    <mergeCell ref="M535:M536"/>
    <mergeCell ref="I537:I538"/>
    <mergeCell ref="M537:M538"/>
    <mergeCell ref="M539:M540"/>
    <mergeCell ref="I541:I542"/>
    <mergeCell ref="B537:B538"/>
    <mergeCell ref="C537:C538"/>
    <mergeCell ref="E537:E538"/>
    <mergeCell ref="B535:B536"/>
    <mergeCell ref="G522:G523"/>
    <mergeCell ref="G533:G534"/>
    <mergeCell ref="D522:D523"/>
    <mergeCell ref="B526:B527"/>
    <mergeCell ref="C526:C527"/>
    <mergeCell ref="B533:B534"/>
    <mergeCell ref="C533:C534"/>
    <mergeCell ref="D533:D534"/>
    <mergeCell ref="E533:E534"/>
    <mergeCell ref="D537:D538"/>
    <mergeCell ref="C535:C536"/>
    <mergeCell ref="D535:D536"/>
    <mergeCell ref="E535:E536"/>
    <mergeCell ref="B543:B544"/>
    <mergeCell ref="C543:C544"/>
    <mergeCell ref="D543:D544"/>
    <mergeCell ref="B539:B540"/>
    <mergeCell ref="C539:C540"/>
    <mergeCell ref="D539:D540"/>
    <mergeCell ref="B541:B542"/>
    <mergeCell ref="C541:C542"/>
    <mergeCell ref="D541:D542"/>
    <mergeCell ref="G541:G542"/>
    <mergeCell ref="F545:F546"/>
    <mergeCell ref="B545:B546"/>
    <mergeCell ref="C545:C546"/>
    <mergeCell ref="M541:M542"/>
    <mergeCell ref="I548:I549"/>
    <mergeCell ref="M548:M549"/>
    <mergeCell ref="H545:H546"/>
    <mergeCell ref="I545:I546"/>
    <mergeCell ref="M545:M546"/>
    <mergeCell ref="H548:H549"/>
    <mergeCell ref="G537:G538"/>
    <mergeCell ref="F539:F540"/>
    <mergeCell ref="H541:H542"/>
    <mergeCell ref="B548:B549"/>
    <mergeCell ref="C548:C549"/>
    <mergeCell ref="D548:D549"/>
    <mergeCell ref="E548:E549"/>
    <mergeCell ref="F548:F549"/>
    <mergeCell ref="D545:D546"/>
    <mergeCell ref="E545:E546"/>
    <mergeCell ref="H560:H561"/>
    <mergeCell ref="H558:H559"/>
    <mergeCell ref="I560:I561"/>
    <mergeCell ref="H537:H538"/>
    <mergeCell ref="F541:F542"/>
    <mergeCell ref="I555:I557"/>
    <mergeCell ref="I558:I559"/>
    <mergeCell ref="H555:H557"/>
    <mergeCell ref="G545:G546"/>
    <mergeCell ref="F537:F538"/>
    <mergeCell ref="B555:B557"/>
    <mergeCell ref="C555:C557"/>
    <mergeCell ref="D555:D557"/>
    <mergeCell ref="E555:E557"/>
    <mergeCell ref="G548:G549"/>
    <mergeCell ref="F555:F557"/>
    <mergeCell ref="G555:G557"/>
    <mergeCell ref="B553:B554"/>
    <mergeCell ref="F553:F554"/>
    <mergeCell ref="G553:G554"/>
    <mergeCell ref="B560:B561"/>
    <mergeCell ref="C560:C561"/>
    <mergeCell ref="D560:D561"/>
    <mergeCell ref="E560:E561"/>
    <mergeCell ref="F560:F561"/>
    <mergeCell ref="G560:G561"/>
    <mergeCell ref="H299:H300"/>
    <mergeCell ref="I299:I300"/>
    <mergeCell ref="M299:M300"/>
    <mergeCell ref="B558:B559"/>
    <mergeCell ref="C558:C559"/>
    <mergeCell ref="D558:D559"/>
    <mergeCell ref="E558:E559"/>
    <mergeCell ref="F558:F559"/>
    <mergeCell ref="G558:G559"/>
    <mergeCell ref="M555:M557"/>
    <mergeCell ref="M558:M559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M562:M563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M565:M566"/>
    <mergeCell ref="B569:B570"/>
    <mergeCell ref="C569:C570"/>
    <mergeCell ref="D569:D570"/>
    <mergeCell ref="E569:E570"/>
    <mergeCell ref="F569:F570"/>
    <mergeCell ref="G569:G570"/>
    <mergeCell ref="H569:H570"/>
    <mergeCell ref="M569:M570"/>
    <mergeCell ref="B567:B568"/>
    <mergeCell ref="C567:C568"/>
    <mergeCell ref="D567:D568"/>
    <mergeCell ref="E567:E568"/>
    <mergeCell ref="F567:F568"/>
    <mergeCell ref="G567:G568"/>
    <mergeCell ref="H567:H568"/>
    <mergeCell ref="I567:I568"/>
    <mergeCell ref="B573:B574"/>
    <mergeCell ref="C573:C574"/>
    <mergeCell ref="D573:D574"/>
    <mergeCell ref="E573:E574"/>
    <mergeCell ref="F573:F574"/>
    <mergeCell ref="G573:G574"/>
    <mergeCell ref="C575:C576"/>
    <mergeCell ref="D575:D576"/>
    <mergeCell ref="E575:E576"/>
    <mergeCell ref="F575:F576"/>
    <mergeCell ref="G575:G576"/>
    <mergeCell ref="M567:M568"/>
    <mergeCell ref="H573:H574"/>
    <mergeCell ref="I573:I574"/>
    <mergeCell ref="M573:M574"/>
    <mergeCell ref="I569:I570"/>
    <mergeCell ref="I575:I576"/>
    <mergeCell ref="M575:M576"/>
    <mergeCell ref="B579:B580"/>
    <mergeCell ref="C579:C580"/>
    <mergeCell ref="D579:D580"/>
    <mergeCell ref="E579:E580"/>
    <mergeCell ref="F579:F580"/>
    <mergeCell ref="G579:G580"/>
    <mergeCell ref="H579:H580"/>
    <mergeCell ref="B575:B576"/>
    <mergeCell ref="I579:I580"/>
    <mergeCell ref="M579:M580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M577:M578"/>
    <mergeCell ref="B483:B484"/>
    <mergeCell ref="B476:B477"/>
    <mergeCell ref="B473:B475"/>
    <mergeCell ref="B480:B481"/>
    <mergeCell ref="B470:B471"/>
    <mergeCell ref="L567:L568"/>
    <mergeCell ref="L569:L570"/>
    <mergeCell ref="L575:L576"/>
    <mergeCell ref="H575:H576"/>
    <mergeCell ref="H27:H28"/>
    <mergeCell ref="I27:I28"/>
    <mergeCell ref="B27:B28"/>
    <mergeCell ref="C27:C28"/>
    <mergeCell ref="D27:D28"/>
    <mergeCell ref="E27:E28"/>
    <mergeCell ref="F27:F28"/>
    <mergeCell ref="G27:G28"/>
    <mergeCell ref="E223:E224"/>
    <mergeCell ref="F223:F224"/>
    <mergeCell ref="G49:G50"/>
    <mergeCell ref="B87:B88"/>
    <mergeCell ref="C87:C88"/>
    <mergeCell ref="D87:D88"/>
    <mergeCell ref="E87:E88"/>
    <mergeCell ref="F87:F88"/>
    <mergeCell ref="G87:G88"/>
    <mergeCell ref="F82:F83"/>
    <mergeCell ref="M82:M83"/>
    <mergeCell ref="H87:H88"/>
    <mergeCell ref="H76:H77"/>
    <mergeCell ref="H97:H98"/>
    <mergeCell ref="I97:I98"/>
    <mergeCell ref="M97:M98"/>
    <mergeCell ref="L76:L77"/>
    <mergeCell ref="L82:L83"/>
    <mergeCell ref="L97:L98"/>
    <mergeCell ref="H99:H100"/>
    <mergeCell ref="H119:H120"/>
    <mergeCell ref="I119:I120"/>
    <mergeCell ref="B49:B50"/>
    <mergeCell ref="C49:C50"/>
    <mergeCell ref="D49:D50"/>
    <mergeCell ref="E49:E50"/>
    <mergeCell ref="F49:F50"/>
    <mergeCell ref="B52:B54"/>
    <mergeCell ref="C52:C54"/>
    <mergeCell ref="C223:C224"/>
    <mergeCell ref="D223:D224"/>
    <mergeCell ref="G40:G42"/>
    <mergeCell ref="H40:H42"/>
    <mergeCell ref="I40:I42"/>
    <mergeCell ref="M40:M42"/>
    <mergeCell ref="H49:H50"/>
    <mergeCell ref="I49:I50"/>
    <mergeCell ref="M49:M50"/>
    <mergeCell ref="G223:G224"/>
    <mergeCell ref="B40:B42"/>
    <mergeCell ref="C40:C42"/>
    <mergeCell ref="D40:D42"/>
    <mergeCell ref="E40:E42"/>
    <mergeCell ref="F40:F42"/>
    <mergeCell ref="E254:E255"/>
    <mergeCell ref="F254:F255"/>
    <mergeCell ref="B223:B224"/>
    <mergeCell ref="B238:B239"/>
    <mergeCell ref="C238:C239"/>
    <mergeCell ref="D238:D239"/>
    <mergeCell ref="E238:E239"/>
    <mergeCell ref="F238:F239"/>
    <mergeCell ref="H238:H239"/>
    <mergeCell ref="H261:H262"/>
    <mergeCell ref="I261:I262"/>
    <mergeCell ref="H242:H243"/>
    <mergeCell ref="I242:I243"/>
    <mergeCell ref="I244:I245"/>
    <mergeCell ref="M261:M262"/>
    <mergeCell ref="H246:H247"/>
    <mergeCell ref="I250:I251"/>
    <mergeCell ref="G254:G255"/>
    <mergeCell ref="H254:H255"/>
    <mergeCell ref="I254:I255"/>
    <mergeCell ref="M254:M255"/>
    <mergeCell ref="M258:M259"/>
    <mergeCell ref="L252:L253"/>
    <mergeCell ref="L258:L259"/>
    <mergeCell ref="D52:D54"/>
    <mergeCell ref="E52:E54"/>
    <mergeCell ref="F52:F54"/>
    <mergeCell ref="B119:B120"/>
    <mergeCell ref="C119:C120"/>
    <mergeCell ref="D119:D120"/>
    <mergeCell ref="E119:E120"/>
    <mergeCell ref="F119:F120"/>
    <mergeCell ref="B103:B105"/>
    <mergeCell ref="C103:C105"/>
    <mergeCell ref="G119:G120"/>
    <mergeCell ref="M119:M120"/>
    <mergeCell ref="G52:G54"/>
    <mergeCell ref="H52:H54"/>
    <mergeCell ref="I52:I54"/>
    <mergeCell ref="M52:M54"/>
    <mergeCell ref="I87:I88"/>
    <mergeCell ref="M87:M88"/>
    <mergeCell ref="H82:H83"/>
    <mergeCell ref="H74:H75"/>
    <mergeCell ref="I74:I75"/>
    <mergeCell ref="B74:B75"/>
    <mergeCell ref="C74:C75"/>
    <mergeCell ref="D74:D75"/>
    <mergeCell ref="E74:E75"/>
    <mergeCell ref="F74:F75"/>
    <mergeCell ref="G74:G75"/>
    <mergeCell ref="M74:M75"/>
    <mergeCell ref="B79:B81"/>
    <mergeCell ref="C79:C81"/>
    <mergeCell ref="D79:D81"/>
    <mergeCell ref="E79:E81"/>
    <mergeCell ref="F79:F81"/>
    <mergeCell ref="G79:G81"/>
    <mergeCell ref="H79:H81"/>
    <mergeCell ref="I79:I81"/>
    <mergeCell ref="M79:M81"/>
    <mergeCell ref="D103:D105"/>
    <mergeCell ref="E103:E105"/>
    <mergeCell ref="F103:F105"/>
    <mergeCell ref="G103:G105"/>
    <mergeCell ref="H103:H105"/>
    <mergeCell ref="I103:I105"/>
    <mergeCell ref="M103:M105"/>
    <mergeCell ref="B442:B443"/>
    <mergeCell ref="C442:C443"/>
    <mergeCell ref="D442:D443"/>
    <mergeCell ref="E442:E443"/>
    <mergeCell ref="F442:F443"/>
    <mergeCell ref="G442:G443"/>
    <mergeCell ref="B377:B378"/>
    <mergeCell ref="C377:C378"/>
    <mergeCell ref="D377:D378"/>
    <mergeCell ref="E377:E378"/>
    <mergeCell ref="F377:F378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M379:M380"/>
    <mergeCell ref="G377:G378"/>
    <mergeCell ref="H377:H378"/>
    <mergeCell ref="I377:I378"/>
    <mergeCell ref="M377:M378"/>
    <mergeCell ref="L379:L380"/>
    <mergeCell ref="E18:E19"/>
    <mergeCell ref="C18:C19"/>
    <mergeCell ref="F18:F19"/>
    <mergeCell ref="G18:G19"/>
    <mergeCell ref="H18:H19"/>
    <mergeCell ref="I18:I19"/>
    <mergeCell ref="M18:M19"/>
    <mergeCell ref="B429:B431"/>
    <mergeCell ref="C429:C431"/>
    <mergeCell ref="D429:D431"/>
    <mergeCell ref="H212:H214"/>
    <mergeCell ref="I212:I214"/>
    <mergeCell ref="M212:M214"/>
    <mergeCell ref="E429:E431"/>
    <mergeCell ref="F429:F431"/>
    <mergeCell ref="G429:G431"/>
    <mergeCell ref="H429:H431"/>
    <mergeCell ref="I429:I431"/>
    <mergeCell ref="M429:M431"/>
    <mergeCell ref="B432:B433"/>
    <mergeCell ref="D432:D433"/>
    <mergeCell ref="E432:E433"/>
    <mergeCell ref="C432:C433"/>
    <mergeCell ref="F432:F433"/>
    <mergeCell ref="G432:G433"/>
    <mergeCell ref="H432:H433"/>
    <mergeCell ref="I432:I433"/>
    <mergeCell ref="M432:M433"/>
    <mergeCell ref="B435:B436"/>
    <mergeCell ref="C435:C436"/>
    <mergeCell ref="D435:D436"/>
    <mergeCell ref="E435:E436"/>
    <mergeCell ref="F435:F436"/>
    <mergeCell ref="G435:G436"/>
    <mergeCell ref="H435:H436"/>
    <mergeCell ref="I435:I436"/>
    <mergeCell ref="M435:M436"/>
    <mergeCell ref="B212:B214"/>
    <mergeCell ref="C212:C214"/>
    <mergeCell ref="D212:D214"/>
    <mergeCell ref="E212:E214"/>
    <mergeCell ref="F212:F214"/>
    <mergeCell ref="G212:G214"/>
    <mergeCell ref="L242:L243"/>
    <mergeCell ref="L246:L247"/>
    <mergeCell ref="L250:L251"/>
    <mergeCell ref="G588:G589"/>
    <mergeCell ref="H588:H589"/>
    <mergeCell ref="I588:I589"/>
    <mergeCell ref="M588:M589"/>
    <mergeCell ref="B588:B589"/>
    <mergeCell ref="C588:C589"/>
    <mergeCell ref="D588:D589"/>
    <mergeCell ref="E588:E589"/>
    <mergeCell ref="F588:F589"/>
    <mergeCell ref="L5:L6"/>
    <mergeCell ref="I14:I15"/>
    <mergeCell ref="L20:L21"/>
    <mergeCell ref="I25:I26"/>
    <mergeCell ref="L25:L26"/>
    <mergeCell ref="L22:L23"/>
    <mergeCell ref="I10:I11"/>
    <mergeCell ref="L27:L28"/>
    <mergeCell ref="L33:L34"/>
    <mergeCell ref="L41:L42"/>
    <mergeCell ref="L53:L54"/>
    <mergeCell ref="L63:L64"/>
    <mergeCell ref="L66:L67"/>
    <mergeCell ref="L103:L105"/>
    <mergeCell ref="L115:L116"/>
    <mergeCell ref="L117:L118"/>
    <mergeCell ref="L119:L120"/>
    <mergeCell ref="L127:L128"/>
    <mergeCell ref="L137:L138"/>
    <mergeCell ref="L143:L144"/>
    <mergeCell ref="L157:L158"/>
    <mergeCell ref="L159:L160"/>
    <mergeCell ref="L161:L162"/>
    <mergeCell ref="L187:L188"/>
    <mergeCell ref="L189:L190"/>
    <mergeCell ref="L192:L193"/>
    <mergeCell ref="L194:L195"/>
    <mergeCell ref="L199:L201"/>
    <mergeCell ref="L202:L204"/>
    <mergeCell ref="L206:L207"/>
    <mergeCell ref="L208:L209"/>
    <mergeCell ref="L210:L211"/>
    <mergeCell ref="L212:L214"/>
    <mergeCell ref="L218:L219"/>
    <mergeCell ref="L223:L224"/>
    <mergeCell ref="L230:L231"/>
    <mergeCell ref="L238:L239"/>
    <mergeCell ref="L266:L268"/>
    <mergeCell ref="L269:L271"/>
    <mergeCell ref="L273:L274"/>
    <mergeCell ref="L282:L283"/>
    <mergeCell ref="L284:L285"/>
    <mergeCell ref="L286:L287"/>
    <mergeCell ref="L299:L300"/>
    <mergeCell ref="L306:L307"/>
    <mergeCell ref="L309:L310"/>
    <mergeCell ref="L321:L322"/>
    <mergeCell ref="L330:L331"/>
    <mergeCell ref="L336:L337"/>
    <mergeCell ref="L370:L371"/>
    <mergeCell ref="L375:L376"/>
    <mergeCell ref="L377:L378"/>
    <mergeCell ref="L382:L384"/>
    <mergeCell ref="L392:L393"/>
    <mergeCell ref="L398:L399"/>
    <mergeCell ref="L401:L402"/>
    <mergeCell ref="L403:L404"/>
    <mergeCell ref="L408:L409"/>
    <mergeCell ref="L412:L414"/>
    <mergeCell ref="L417:L418"/>
    <mergeCell ref="L429:L431"/>
    <mergeCell ref="L432:L433"/>
    <mergeCell ref="L435:L436"/>
    <mergeCell ref="L437:L438"/>
    <mergeCell ref="L440:L441"/>
    <mergeCell ref="L442:L443"/>
    <mergeCell ref="L448:L449"/>
    <mergeCell ref="L462:L463"/>
    <mergeCell ref="L474:L475"/>
    <mergeCell ref="L485:L486"/>
    <mergeCell ref="L565:L566"/>
    <mergeCell ref="L487:L488"/>
    <mergeCell ref="L495:L496"/>
    <mergeCell ref="L506:L507"/>
    <mergeCell ref="L516:L517"/>
    <mergeCell ref="L522:L523"/>
    <mergeCell ref="L524:L525"/>
    <mergeCell ref="L583:L584"/>
    <mergeCell ref="L588:L589"/>
    <mergeCell ref="L551:L552"/>
    <mergeCell ref="L553:L554"/>
    <mergeCell ref="L556:L557"/>
    <mergeCell ref="L558:L559"/>
    <mergeCell ref="L560:L561"/>
    <mergeCell ref="B595:B596"/>
    <mergeCell ref="C595:C596"/>
    <mergeCell ref="D595:D596"/>
    <mergeCell ref="E595:E596"/>
    <mergeCell ref="F595:F596"/>
    <mergeCell ref="G595:G596"/>
    <mergeCell ref="H621:H622"/>
    <mergeCell ref="I621:I622"/>
    <mergeCell ref="L621:L622"/>
    <mergeCell ref="M621:M622"/>
    <mergeCell ref="B621:B622"/>
    <mergeCell ref="C621:C622"/>
    <mergeCell ref="D621:D622"/>
    <mergeCell ref="E621:E622"/>
    <mergeCell ref="F621:F622"/>
    <mergeCell ref="G621:G622"/>
  </mergeCells>
  <hyperlinks>
    <hyperlink ref="M223" r:id="rId1" display="http://www.stromypodkontrolou.cz/map/tree/eb9fcfc1-f6fa-405f-85c7-690b2fb79ecd/ea1026a1-b970-4954-8ee1-3355e54e9c56"/>
    <hyperlink ref="M254" r:id="rId2" display="https://www.stromypodkontrolou.cz/map/tree/eb9fcfc1-f6fa-405f-85c7-690b2fb79ecd/0c9b5ce2-5533-4e1e-a50d-8ce0b638375f"/>
    <hyperlink ref="M257" r:id="rId3" display="http://www.stromypodkontrolou.cz/map/tree/eb9fcfc1-f6fa-405f-85c7-690b2fb79ecd/08911cf5-037f-4618-8665-8cb50f372efc"/>
    <hyperlink ref="M426" r:id="rId4" display="http://www.stromypodkontrolou.cz/map/tree/eb9fcfc1-f6fa-405f-85c7-690b2fb79ecd/b8ae0f62-e9c3-4fe2-b999-a13f73589bcb"/>
    <hyperlink ref="M424" r:id="rId5" display="http://www.stromypodkontrolou.cz/map/tree/eb9fcfc1-f6fa-405f-85c7-690b2fb79ecd/5bb478d3-090d-4863-a8d4-e603cf5c48e9"/>
    <hyperlink ref="M18" r:id="rId6" display="https://www.stromypodkontrolou.cz/map/tree/eb9fcfc1-f6fa-405f-85c7-690b2fb79ecd/2f56538c-28a6-4533-969e-620959b06af3"/>
    <hyperlink ref="M397" r:id="rId7" display="http://www.stromypodkontrolou.cz/map/tree/eb9fcfc1-f6fa-405f-85c7-690b2fb79ecd/c1a153fc-308c-45bd-840b-151ef09a5fab"/>
    <hyperlink ref="M429" r:id="rId8" display="http://www.stromypodkontrolou.cz/map/tree/eb9fcfc1-f6fa-405f-85c7-690b2fb79ecd/755d81a0-d7d6-4a13-aa4e-38592cb6652c"/>
    <hyperlink ref="M432" r:id="rId9" display="http://www.stromypodkontrolou.cz/map/tree/eb9fcfc1-f6fa-405f-85c7-690b2fb79ecd/71933614-bcb0-4c68-8e8e-104785e27977"/>
    <hyperlink ref="M434" r:id="rId10" display="http://www.stromypodkontrolou.cz/map/tree/eb9fcfc1-f6fa-405f-85c7-690b2fb79ecd/c2a6c1e2-616e-4583-86ed-3bf25ba91b50"/>
    <hyperlink ref="M435" r:id="rId11" display="http://www.stromypodkontrolou.cz/map/tree/eb9fcfc1-f6fa-405f-85c7-690b2fb79ecd/812bf59c-1f02-4bb3-951b-67b7039f0dd7"/>
    <hyperlink ref="M212" r:id="rId12" display="https://www.stromypodkontrolou.cz/map/tree/eb9fcfc1-f6fa-405f-85c7-690b2fb79ecd/f6368248-f95e-42b7-a65e-8e1c48397001"/>
    <hyperlink ref="M550" r:id="rId13" display="https://www.stromypodkontrolou.cz/map/tree/eb9fcfc1-f6fa-405f-85c7-690b2fb79ecd/46864720-b7f6-4ae4-9072-9f7585bb6e5a"/>
    <hyperlink ref="M249" r:id="rId14" display="http://www.stromypodkontrolou.cz/map/tree/eb9fcfc1-f6fa-405f-85c7-690b2fb79ecd/017f7b65-e4aa-4fbb-89fe-0c0f6825868a"/>
    <hyperlink ref="M288" r:id="rId15" display="https://www.stromypodkontrolou.cz/map/tree/eb9fcfc1-f6fa-405f-85c7-690b2fb79ecd/06c2c39f-ab16-46db-a3f1-3f8f7b62d314"/>
    <hyperlink ref="M289" r:id="rId16" display="https://www.stromypodkontrolou.cz/map/tree/eb9fcfc1-f6fa-405f-85c7-690b2fb79ecd/0b102530-04bb-4498-ab11-c1161facc842"/>
    <hyperlink ref="M290" r:id="rId17" display="https://www.stromypodkontrolou.cz/map/tree/eb9fcfc1-f6fa-405f-85c7-690b2fb79ecd/03f00c1c-0d4e-4144-8e01-ba5b77b680d4"/>
    <hyperlink ref="M291" r:id="rId18" display="https://www.stromypodkontrolou.cz/map/tree/eb9fcfc1-f6fa-405f-85c7-690b2fb79ecd/8e851176-283b-4750-b589-f8c5151c1151"/>
    <hyperlink ref="M292" r:id="rId19" display="https://www.stromypodkontrolou.cz/map/tree/eb9fcfc1-f6fa-405f-85c7-690b2fb79ecd/a966e4e4-ece1-419d-9992-40c5ae7423c3"/>
    <hyperlink ref="M293" r:id="rId20" display="https://www.stromypodkontrolou.cz/map/tree/eb9fcfc1-f6fa-405f-85c7-690b2fb79ecd/1800bd29-0fd1-4a22-bfb1-d85296ce75e3"/>
    <hyperlink ref="M294" r:id="rId21" display="https://www.stromypodkontrolou.cz/map/tree/eb9fcfc1-f6fa-405f-85c7-690b2fb79ecd/075e7c5b-5747-4997-8c82-d29d7a75e744"/>
    <hyperlink ref="M295" r:id="rId22" display="https://www.stromypodkontrolou.cz/map/tree/eb9fcfc1-f6fa-405f-85c7-690b2fb79ecd/9a91e621-bb0b-42f1-bfe3-1354cf74f402"/>
    <hyperlink ref="M296" r:id="rId23" display="https://www.stromypodkontrolou.cz/map/tree/eb9fcfc1-f6fa-405f-85c7-690b2fb79ecd/16fd3c9a-be2f-4fe0-9a50-68b5efec2200"/>
    <hyperlink ref="M297" r:id="rId24" display="https://www.stromypodkontrolou.cz/map/tree/eb9fcfc1-f6fa-405f-85c7-690b2fb79ecd/fc488770-5e0a-4d75-a551-045c9b54478e"/>
    <hyperlink ref="M588" r:id="rId25" display="http://www.stromypodkontrolou.cz/map/tree/eb9fcfc1-f6fa-405f-85c7-690b2fb79ecd/cb47c171-8641-4999-b6e3-b830a6227815"/>
    <hyperlink ref="M408" r:id="rId26" display="http://www.stromypodkontrolou.cz/map/tree/eb9fcfc1-f6fa-405f-85c7-690b2fb79ecd/505ea977-f808-43da-8a12-8440dd920016"/>
    <hyperlink ref="M409" r:id="rId27" display="http://www.stromypodkontrolou.cz/map/tree/eb9fcfc1-f6fa-405f-85c7-690b2fb79ecd/505ea977-f808-43da-8a12-8440dd920016"/>
    <hyperlink ref="M119" r:id="rId28" display="http://www.stromypodkontrolou.cz/map/tree/eb9fcfc1-f6fa-405f-85c7-690b2fb79ecd/e7cbb9ab-1eb2-4831-88a0-a62579c6f2e6"/>
    <hyperlink ref="M177" r:id="rId29" display="http://www.stromypodkontrolou.cz/map/tree/eb9fcfc1-f6fa-405f-85c7-690b2fb79ecd/afbce86b-0616-4b43-84b8-0ffe56acdd49"/>
    <hyperlink ref="M282" r:id="rId30" display="http://www.stromypodkontrolou.cz/map/tree/eb9fcfc1-f6fa-405f-85c7-690b2fb79ecd/fb6afb29-9b2c-47c3-ae59-5eb8d2480a18"/>
    <hyperlink ref="M299" r:id="rId31" display="http://www.stromypodkontrolou.cz/map/tree/eb9fcfc1-f6fa-405f-85c7-690b2fb79ecd/170b2371-f5a7-42f3-b119-57231006daf6"/>
    <hyperlink ref="M553" r:id="rId32" display="http://www.stromypodkontrolou.cz/map/tree/eb9fcfc1-f6fa-405f-85c7-690b2fb79ecd/a87239c5-cd9c-44fe-8993-062faee92f08"/>
    <hyperlink ref="M582" r:id="rId33" display="http://www.stromypodkontrolou.cz/map/tree/eb9fcfc1-f6fa-405f-85c7-690b2fb79ecd/3ec07a10-61eb-4f7f-a99c-5a699110a397"/>
    <hyperlink ref="M583" r:id="rId34" display="http://www.stromypodkontrolou.cz/map/tree/eb9fcfc1-f6fa-405f-85c7-690b2fb79ecd/313e9950-4b5d-4dc7-afe2-52a2b6f59a5c"/>
  </hyperlink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paperSize="9" scale="52" r:id="rId37"/>
  <headerFooter alignWithMargins="0">
    <oddHeader>&amp;C&amp;P</oddHeader>
    <oddFooter>&amp;C&amp;F</oddFooter>
  </headerFooter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Lisztwan</dc:creator>
  <cp:keywords/>
  <dc:description/>
  <cp:lastModifiedBy>User</cp:lastModifiedBy>
  <cp:lastPrinted>2017-05-17T11:09:03Z</cp:lastPrinted>
  <dcterms:created xsi:type="dcterms:W3CDTF">2017-03-22T15:31:21Z</dcterms:created>
  <dcterms:modified xsi:type="dcterms:W3CDTF">2017-05-30T07:18:19Z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