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<sst xmlns="http://schemas.openxmlformats.org/spreadsheetml/2006/main" count="943" uniqueCount="330">
  <si>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</si>
  <si>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</si>
  <si>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</si>
  <si>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</si>
  <si>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</si>
  <si>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</si>
  <si>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</si>
  <si>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</si>
  <si>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</si>
  <si>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</si>
  <si>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</si>
  <si>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</si>
  <si>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</si>
  <si>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</si>
  <si>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</si>
  <si>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</si>
  <si>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</si>
  <si>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</si>
  <si>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</si>
  <si>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</si>
  <si>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</si>
  <si>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</si>
  <si>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</si>
  <si>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</si>
  <si>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</si>
  <si>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</si>
  <si>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</si>
  <si>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</si>
  <si>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</si>
  <si>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</si>
  <si>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</si>
  <si>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</si>
  <si>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</si>
  <si>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</si>
  <si>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</si>
  <si>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</si>
  <si>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</si>
  <si>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</si>
  <si>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</si>
  <si>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</si>
  <si>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</si>
  <si>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</si>
  <si>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</si>
  <si>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</si>
  <si>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</si>
  <si>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</si>
  <si>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</si>
  <si>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</si>
  <si>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</si>
  <si>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</si>
  <si>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</si>
  <si>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</si>
  <si>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</si>
  <si>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</si>
  <si>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</si>
  <si>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</si>
  <si>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</si>
  <si>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</si>
  <si>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</si>
  <si>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</si>
  <si>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</si>
  <si>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</si>
  <si>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</si>
  <si>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</si>
  <si>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</si>
  <si>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</si>
  <si>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</si>
  <si>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</si>
  <si>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</si>
  <si>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</si>
  <si>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Poznámka:</t>
  </si>
  <si>
    <t>Objekt</t>
  </si>
  <si>
    <t>01</t>
  </si>
  <si>
    <t>02</t>
  </si>
  <si>
    <t>03</t>
  </si>
  <si>
    <t>04</t>
  </si>
  <si>
    <t>Kód</t>
  </si>
  <si>
    <t>722</t>
  </si>
  <si>
    <t>722181214RY1</t>
  </si>
  <si>
    <t>732</t>
  </si>
  <si>
    <t>732429112R00</t>
  </si>
  <si>
    <t>732420813R00</t>
  </si>
  <si>
    <t>733</t>
  </si>
  <si>
    <t>733111318R00</t>
  </si>
  <si>
    <t>734</t>
  </si>
  <si>
    <t>734494218R00</t>
  </si>
  <si>
    <t>90</t>
  </si>
  <si>
    <t>900      RT2</t>
  </si>
  <si>
    <t>H734</t>
  </si>
  <si>
    <t>998734201R00</t>
  </si>
  <si>
    <t>732101VD</t>
  </si>
  <si>
    <t>734100VD</t>
  </si>
  <si>
    <t>722182021R00</t>
  </si>
  <si>
    <t>722182024R00</t>
  </si>
  <si>
    <t>722181213RT5</t>
  </si>
  <si>
    <t>722181213RT7</t>
  </si>
  <si>
    <t>733111313R00</t>
  </si>
  <si>
    <t>733111314R00</t>
  </si>
  <si>
    <t>733111315R00</t>
  </si>
  <si>
    <t>733111316R00</t>
  </si>
  <si>
    <t>733163102R00</t>
  </si>
  <si>
    <t>733191923R00</t>
  </si>
  <si>
    <t>733161922R00</t>
  </si>
  <si>
    <t>733191913R00</t>
  </si>
  <si>
    <t>734200821R00</t>
  </si>
  <si>
    <t>734200822R00</t>
  </si>
  <si>
    <t>734200823R00</t>
  </si>
  <si>
    <t>734295321R00</t>
  </si>
  <si>
    <t>734235122R00</t>
  </si>
  <si>
    <t>734235123R00</t>
  </si>
  <si>
    <t>734235124R00</t>
  </si>
  <si>
    <t>734209105R00</t>
  </si>
  <si>
    <t>734221672RT3</t>
  </si>
  <si>
    <t>734226212RT1</t>
  </si>
  <si>
    <t>734226211RT1</t>
  </si>
  <si>
    <t>734266772R00</t>
  </si>
  <si>
    <t>734266122R00</t>
  </si>
  <si>
    <t>734266422R00</t>
  </si>
  <si>
    <t>734494213R00</t>
  </si>
  <si>
    <t>734494214R00</t>
  </si>
  <si>
    <t>734494215R00</t>
  </si>
  <si>
    <t>734494216R00</t>
  </si>
  <si>
    <t>735</t>
  </si>
  <si>
    <t>735000912R00</t>
  </si>
  <si>
    <t>735157668R00</t>
  </si>
  <si>
    <t>735151364R00</t>
  </si>
  <si>
    <t>735159220R00</t>
  </si>
  <si>
    <t>735151821R00</t>
  </si>
  <si>
    <t>783</t>
  </si>
  <si>
    <t>783424340R00</t>
  </si>
  <si>
    <t>H735</t>
  </si>
  <si>
    <t>998735201R00</t>
  </si>
  <si>
    <t>55137295</t>
  </si>
  <si>
    <t>5513730668</t>
  </si>
  <si>
    <t>713602VD</t>
  </si>
  <si>
    <t>713606VD</t>
  </si>
  <si>
    <t>713607VD</t>
  </si>
  <si>
    <t>713600VD</t>
  </si>
  <si>
    <t>713190VD</t>
  </si>
  <si>
    <t>900      RT1</t>
  </si>
  <si>
    <t>911</t>
  </si>
  <si>
    <t>911600VD</t>
  </si>
  <si>
    <t>911602VD</t>
  </si>
  <si>
    <t>Termoregulace otopné soustavy v objektu ZŠ Oldřichovice 275</t>
  </si>
  <si>
    <t>Oldřichovice 275</t>
  </si>
  <si>
    <t>Zkrácený popis</t>
  </si>
  <si>
    <t>Rozměry</t>
  </si>
  <si>
    <t>Technologie zdroje tepla</t>
  </si>
  <si>
    <t>Vnitřní vodovod</t>
  </si>
  <si>
    <t>Tepelná izolace návleková s pěnového poletylénu tl. stěny 20 mm, vnitřní průměr 60</t>
  </si>
  <si>
    <t>Strojovny</t>
  </si>
  <si>
    <t>Montáž čerpadel oběhových spirálních, DN 32</t>
  </si>
  <si>
    <t>Demontáž čerpadel oběhových spirálních DN 50</t>
  </si>
  <si>
    <t>Rozvod potrubí</t>
  </si>
  <si>
    <t>Potrubí závit. běžné svařované v kotelnách DN 50 - výměna čerpadla</t>
  </si>
  <si>
    <t>Armatury</t>
  </si>
  <si>
    <t>Návarky s trubkovým závitem G 2</t>
  </si>
  <si>
    <t>Hodinové zúčtovací sazby (HZS)</t>
  </si>
  <si>
    <t>HZS-odpojení a zpětné napojení kabelu čerpadla</t>
  </si>
  <si>
    <t>HZS-nastavení  a uvedení do provozu oběhového čerpadla</t>
  </si>
  <si>
    <t>Přesun hmot pro armatury, výšky do 6 m</t>
  </si>
  <si>
    <t>Ostatní materiál</t>
  </si>
  <si>
    <t>Oběhové čerpadlo - otopná soustava - dle specifikace</t>
  </si>
  <si>
    <t>Ostatní nespecifikovaný materiál pro instalaci čerpadla</t>
  </si>
  <si>
    <t>Instalace termostatických ventilů</t>
  </si>
  <si>
    <t>Montáž izol.skruží na potrubí přímé DN 25</t>
  </si>
  <si>
    <t>Montáž izol.skruží na potrubí přímé DN 40</t>
  </si>
  <si>
    <t>Tepelná izolace návleková s pěnového poletylénu tl. stěny 15 mm, vnitřní průměr 15</t>
  </si>
  <si>
    <t>Tepelná izolace návleková s pěnového poletylénu tl. stěny 15 mm, vnitřní průměr 22</t>
  </si>
  <si>
    <t>Potrubí závit. běžné svařované v kotelnách DN 15</t>
  </si>
  <si>
    <t>Potrubí závit. běžné svařované v kotelnách DN 20</t>
  </si>
  <si>
    <t>Potrubí závit. běžné svařované v kotelnách DN 25</t>
  </si>
  <si>
    <t>Potrubí závit. běžné svařované v kotelnách DN 32</t>
  </si>
  <si>
    <t>Potrubí z měděných trubek vytápění D 15 x 1,0 mm</t>
  </si>
  <si>
    <t>Navaření odbočky na potrubí,DN odbočky 15 - přemístění tělesa</t>
  </si>
  <si>
    <t>Vsazení odbočky do stáv.měd. potrubí vytápění D 15 - nové těleso</t>
  </si>
  <si>
    <t>Zaslepení potrubí zkováním a zavařením DN 15 - přemístění tělesa</t>
  </si>
  <si>
    <t>Demontáž armatur se 2závity do G 1/2 - radiátorový ventil</t>
  </si>
  <si>
    <t>Demontáž armatur se 2závity do G 1</t>
  </si>
  <si>
    <t>Demontáž armatur se 2závity do G 5/4</t>
  </si>
  <si>
    <t>Kohout kul.vypouštěcí,komplet N 15</t>
  </si>
  <si>
    <t>Kohout kulový,2xvnitřní  zav. DN 20</t>
  </si>
  <si>
    <t>Kohout kulový,2xvnitřní záv.  DN 25</t>
  </si>
  <si>
    <t>Kohout kulový,2xvnitřní záv. DN 32</t>
  </si>
  <si>
    <t>Montáž armatur závitových,s 1závitem  - termostatická hlavice s odděleným ovládáním a rohovým provedením</t>
  </si>
  <si>
    <t>Termostatická hlavice ventilu s vest. čidlem, vč ochrany proti odcizení</t>
  </si>
  <si>
    <t>Ventil term.přímý,vnitř.z. DN 15 - zkracené provedení - dle specifikace</t>
  </si>
  <si>
    <t>Ventil term.přímý,vnitř.z. DN 10 - dle specifikace</t>
  </si>
  <si>
    <t>Šroubení svěrné na měď 15x1 mm</t>
  </si>
  <si>
    <t>Šroubení radiátorové reg.přímé,vnitř.z. DN 15</t>
  </si>
  <si>
    <t>Šroubení uz.dvoutr.s vyp.přímé, pro tělesa ventil kompakt DN15 - přemístěné těleso</t>
  </si>
  <si>
    <t>Návarky s trubkovým závitem G 1/2</t>
  </si>
  <si>
    <t>Návarky s trubkovým závitem G 3/4</t>
  </si>
  <si>
    <t>Návarky s trubkovým závitem G 1</t>
  </si>
  <si>
    <t>Návarky s trubkovým závitem G 5/4</t>
  </si>
  <si>
    <t>Otopná tělesa</t>
  </si>
  <si>
    <t>Oprava-vyregulování ventilů s termost.ovládáním</t>
  </si>
  <si>
    <t>Otopná těl.panel. 22  600/1200 se spodním přípojením a s integrovaným termostatickým ventilem</t>
  </si>
  <si>
    <t>Otopná těl.panel. 22  600/ 800 s bočním přípojením</t>
  </si>
  <si>
    <t>Montáž panelových těles 2řadých do délky 1500 mm - šatny</t>
  </si>
  <si>
    <t>Demontáž otopných těles panelových 2řadých, do 1500 mm - teleso v 3. NP</t>
  </si>
  <si>
    <t>Nátěry</t>
  </si>
  <si>
    <t>Nátěr syntet. potrubí do DN 50 mm  - oprava v místech výměny armatur</t>
  </si>
  <si>
    <t>HZS-vypouštění , napouštění a odvzdušnění otopné soustavy</t>
  </si>
  <si>
    <t>HZS-úprava potrubí pro napojení TRV, pomocné práce</t>
  </si>
  <si>
    <t>HZS-uchycení potrubí,pomocné práce</t>
  </si>
  <si>
    <t>Přesun hmot, výšky do 6 m</t>
  </si>
  <si>
    <t>Hlavice termostatická s odděleným ovládáním včetně ochranného krytu proti odcizení - dle specifikace</t>
  </si>
  <si>
    <t>Hlavice termostatická s vestavěným čidlem v uhlovém provedení - dle specifikace</t>
  </si>
  <si>
    <t>Ostatní nespecifikovaný montážní a těsnicí materiál pro instalaci radiátorových ventilů</t>
  </si>
  <si>
    <t>Ostatní nespecifikovaný materiál pro ochranu kapiláry odděleného čídla termost. hlavice - plastové lišty D+M</t>
  </si>
  <si>
    <t>Izolace potr. z miner.vlny s Al. kašírováním 60/30</t>
  </si>
  <si>
    <t>Izolace potr. z miner.vlny s Al. kašírováním 42/30</t>
  </si>
  <si>
    <t>Izolace potr. z miner.vlny s Al. kašírováním 35/25</t>
  </si>
  <si>
    <t>Izolace potr. z miner.vlny s Al. kašírováním 27/25</t>
  </si>
  <si>
    <t>Ostatní nespec. izolace, páska, lepidlo, sponky</t>
  </si>
  <si>
    <t>Drobné stavební úpravy, úprava zakrytování těles</t>
  </si>
  <si>
    <t>HZS-demontáž a zpětná montáž krytu otopnách těles, úprava krytů pro osazení rad. ventilů s odděl. čidlem</t>
  </si>
  <si>
    <t>HZS-drobné stavební  vypomoci při instalaci red. ventilů</t>
  </si>
  <si>
    <t>Ostatní související práce a činnosti</t>
  </si>
  <si>
    <t>Ostatní</t>
  </si>
  <si>
    <t>PD skutečného provedení stavby</t>
  </si>
  <si>
    <t>Doba výstavby:</t>
  </si>
  <si>
    <t>Začátek výstavby:</t>
  </si>
  <si>
    <t>Konec výstavby:</t>
  </si>
  <si>
    <t>Zpracováno dne:</t>
  </si>
  <si>
    <t>M.j.</t>
  </si>
  <si>
    <t>m</t>
  </si>
  <si>
    <t>soubor</t>
  </si>
  <si>
    <t>kus</t>
  </si>
  <si>
    <t>h</t>
  </si>
  <si>
    <t>%</t>
  </si>
  <si>
    <t>ks</t>
  </si>
  <si>
    <t>kpl</t>
  </si>
  <si>
    <t>Množství</t>
  </si>
  <si>
    <t>18.04.2018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</si>
  <si>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</si>
  <si>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</si>
  <si>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</si>
  <si>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</si>
  <si>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</si>
  <si>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</si>
  <si>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</si>
  <si>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</si>
  <si>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</si>
  <si>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</si>
  <si>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</si>
  <si>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</si>
  <si>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</si>
  <si>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</si>
  <si>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</si>
  <si>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</si>
  <si>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</si>
  <si>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</si>
  <si>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</si>
  <si>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</si>
  <si>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</si>
  <si>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</si>
  <si>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</si>
  <si>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</si>
  <si>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</si>
  <si>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722_</t>
  </si>
  <si>
    <t>732_</t>
  </si>
  <si>
    <t>733_</t>
  </si>
  <si>
    <t>734_</t>
  </si>
  <si>
    <t>90_</t>
  </si>
  <si>
    <t>H734_</t>
  </si>
  <si>
    <t>Z99999_</t>
  </si>
  <si>
    <t>735_</t>
  </si>
  <si>
    <t>783_</t>
  </si>
  <si>
    <t>H735_</t>
  </si>
  <si>
    <t>911_</t>
  </si>
  <si>
    <t>01_72_</t>
  </si>
  <si>
    <t>01_73_</t>
  </si>
  <si>
    <t>01_9_</t>
  </si>
  <si>
    <t>01_Z_</t>
  </si>
  <si>
    <t>02_72_</t>
  </si>
  <si>
    <t>02_73_</t>
  </si>
  <si>
    <t>02_78_</t>
  </si>
  <si>
    <t>02_9_</t>
  </si>
  <si>
    <t>02_Z_</t>
  </si>
  <si>
    <t>03_9_</t>
  </si>
  <si>
    <t>04_9_</t>
  </si>
  <si>
    <t>01_</t>
  </si>
  <si>
    <t>02_</t>
  </si>
  <si>
    <t>03_</t>
  </si>
  <si>
    <t>04_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</si>
  <si>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</si>
  <si>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</si>
  <si>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</si>
  <si>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</si>
  <si>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</si>
  <si>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</si>
  <si>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</si>
  <si>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</si>
  <si>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</si>
  <si>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</si>
  <si>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</si>
  <si>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</si>
  <si>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</si>
  <si>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</si>
  <si>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</si>
  <si>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</si>
  <si>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</si>
  <si>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</si>
  <si>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</si>
  <si>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</si>
  <si>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</si>
  <si>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</si>
  <si>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</si>
  <si>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</si>
  <si>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</si>
  <si>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</si>
  <si>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</si>
  <si>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</si>
  <si>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</si>
  <si>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</si>
  <si>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</si>
  <si>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</si>
  <si>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</si>
  <si>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</si>
  <si>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</si>
  <si>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</si>
  <si>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</si>
  <si>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</si>
  <si>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</si>
  <si>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</si>
  <si>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</si>
  <si>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</si>
  <si>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Zkoušky těsnosti, zaregulování a nastavení ventilů, uvedení do provozu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</si>
</sst>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10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2" fillId="35" borderId="26" xfId="0" applyNumberFormat="1" applyFont="1" applyFill="1" applyBorder="1" applyAlignment="1" applyProtection="1">
      <alignment horizontal="center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4" fillId="0" borderId="26" xfId="0" applyNumberFormat="1" applyFont="1" applyFill="1" applyBorder="1" applyAlignment="1" applyProtection="1">
      <alignment horizontal="right" vertical="center"/>
      <protection/>
    </xf>
    <xf numFmtId="49" fontId="14" fillId="0" borderId="26" xfId="0" applyNumberFormat="1" applyFont="1" applyFill="1" applyBorder="1" applyAlignment="1" applyProtection="1">
      <alignment horizontal="right" vertical="center"/>
      <protection/>
    </xf>
    <xf numFmtId="4" fontId="14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3" fillId="35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2" xfId="0" applyNumberFormat="1" applyFont="1" applyFill="1" applyBorder="1" applyAlignment="1" applyProtection="1">
      <alignment horizontal="left" vertical="center"/>
      <protection/>
    </xf>
    <xf numFmtId="49" fontId="14" fillId="0" borderId="43" xfId="0" applyNumberFormat="1" applyFont="1" applyFill="1" applyBorder="1" applyAlignment="1" applyProtection="1">
      <alignment horizontal="left" vertical="center"/>
      <protection/>
    </xf>
    <xf numFmtId="0" fontId="14" fillId="0" borderId="39" xfId="0" applyNumberFormat="1" applyFont="1" applyFill="1" applyBorder="1" applyAlignment="1" applyProtection="1">
      <alignment horizontal="left" vertical="center"/>
      <protection/>
    </xf>
    <xf numFmtId="0" fontId="14" fillId="0" borderId="44" xfId="0" applyNumberFormat="1" applyFont="1" applyFill="1" applyBorder="1" applyAlignment="1" applyProtection="1">
      <alignment horizontal="left" vertical="center"/>
      <protection/>
    </xf>
    <xf numFmtId="49" fontId="13" fillId="35" borderId="45" xfId="0" applyNumberFormat="1" applyFont="1" applyFill="1" applyBorder="1" applyAlignment="1" applyProtection="1">
      <alignment horizontal="left" vertical="center"/>
      <protection/>
    </xf>
    <xf numFmtId="0" fontId="13" fillId="35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49" fontId="13" fillId="0" borderId="45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49" fontId="14" fillId="0" borderId="45" xfId="0" applyNumberFormat="1" applyFont="1" applyFill="1" applyBorder="1" applyAlignment="1" applyProtection="1">
      <alignment horizontal="left" vertical="center"/>
      <protection/>
    </xf>
    <xf numFmtId="0" fontId="14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46" xfId="0" applyNumberFormat="1" applyFont="1" applyFill="1" applyBorder="1" applyAlignment="1" applyProtection="1">
      <alignment horizontal="center" vertical="center"/>
      <protection/>
    </xf>
    <xf numFmtId="49" fontId="15" fillId="0" borderId="45" xfId="0" applyNumberFormat="1" applyFont="1" applyFill="1" applyBorder="1" applyAlignment="1" applyProtection="1">
      <alignment horizontal="left" vertical="center"/>
      <protection/>
    </xf>
    <xf numFmtId="0" fontId="15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8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E95" sqref="E95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70.281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00390625" style="0" customWidth="1"/>
    <col min="14" max="14" width="0" style="0" hidden="1" customWidth="1"/>
    <col min="15" max="47" width="12.140625" style="0" hidden="1" customWidth="1"/>
    <col min="48" max="48" width="1.57421875" style="0" customWidth="1"/>
  </cols>
  <sheetData>
    <row r="1" spans="1:13" ht="72.7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4" ht="12.75">
      <c r="A2" s="77" t="s">
        <v>1</v>
      </c>
      <c r="B2" s="78"/>
      <c r="C2" s="78"/>
      <c r="D2" s="79" t="s">
        <v>143</v>
      </c>
      <c r="E2" s="81" t="s">
        <v>222</v>
      </c>
      <c r="F2" s="78"/>
      <c r="G2" s="81" t="s">
        <v>6</v>
      </c>
      <c r="H2" s="78"/>
      <c r="I2" s="82" t="s">
        <v>241</v>
      </c>
      <c r="J2" s="82" t="s">
        <v>6</v>
      </c>
      <c r="K2" s="78"/>
      <c r="L2" s="78"/>
      <c r="M2" s="83"/>
      <c r="N2" s="34"/>
    </row>
    <row r="3" spans="1:14" ht="12.75">
      <c r="A3" s="74"/>
      <c r="B3" s="67"/>
      <c r="C3" s="67"/>
      <c r="D3" s="80"/>
      <c r="E3" s="67"/>
      <c r="F3" s="67"/>
      <c r="G3" s="67"/>
      <c r="H3" s="67"/>
      <c r="I3" s="67"/>
      <c r="J3" s="67"/>
      <c r="K3" s="67"/>
      <c r="L3" s="67"/>
      <c r="M3" s="72"/>
      <c r="N3" s="34"/>
    </row>
    <row r="4" spans="1:14" ht="12.75">
      <c r="A4" s="68" t="s">
        <v>2</v>
      </c>
      <c r="B4" s="67"/>
      <c r="C4" s="67"/>
      <c r="D4" s="66" t="s">
        <v>6</v>
      </c>
      <c r="E4" s="71" t="s">
        <v>223</v>
      </c>
      <c r="F4" s="67"/>
      <c r="G4" s="71" t="s">
        <v>6</v>
      </c>
      <c r="H4" s="67"/>
      <c r="I4" s="66" t="s">
        <v>242</v>
      </c>
      <c r="J4" s="66" t="s">
        <v>6</v>
      </c>
      <c r="K4" s="67"/>
      <c r="L4" s="67"/>
      <c r="M4" s="72"/>
      <c r="N4" s="34"/>
    </row>
    <row r="5" spans="1:14" ht="12.75">
      <c r="A5" s="74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72"/>
      <c r="N5" s="34"/>
    </row>
    <row r="6" spans="1:14" ht="12.75">
      <c r="A6" s="68" t="s">
        <v>3</v>
      </c>
      <c r="B6" s="67"/>
      <c r="C6" s="67"/>
      <c r="D6" s="66" t="s">
        <v>144</v>
      </c>
      <c r="E6" s="71" t="s">
        <v>224</v>
      </c>
      <c r="F6" s="67"/>
      <c r="G6" s="71" t="s">
        <v>6</v>
      </c>
      <c r="H6" s="67"/>
      <c r="I6" s="66" t="s">
        <v>243</v>
      </c>
      <c r="J6" s="66" t="s">
        <v>6</v>
      </c>
      <c r="K6" s="67"/>
      <c r="L6" s="67"/>
      <c r="M6" s="72"/>
      <c r="N6" s="34"/>
    </row>
    <row r="7" spans="1:14" ht="12.75">
      <c r="A7" s="74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72"/>
      <c r="N7" s="34"/>
    </row>
    <row r="8" spans="1:14" ht="12.75">
      <c r="A8" s="68" t="s">
        <v>4</v>
      </c>
      <c r="B8" s="67"/>
      <c r="C8" s="67"/>
      <c r="D8" s="66" t="s">
        <v>6</v>
      </c>
      <c r="E8" s="71" t="s">
        <v>225</v>
      </c>
      <c r="F8" s="67"/>
      <c r="G8" s="71" t="s">
        <v>235</v>
      </c>
      <c r="H8" s="67"/>
      <c r="I8" s="66" t="s">
        <v>244</v>
      </c>
      <c r="J8" s="66" t="s">
        <v>6</v>
      </c>
      <c r="K8" s="67"/>
      <c r="L8" s="67"/>
      <c r="M8" s="72"/>
      <c r="N8" s="34"/>
    </row>
    <row r="9" spans="1:14" ht="12.75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3"/>
      <c r="N9" s="34"/>
    </row>
    <row r="10" spans="1:14" ht="12.75">
      <c r="A10" s="1" t="s">
        <v>5</v>
      </c>
      <c r="B10" s="11" t="s">
        <v>71</v>
      </c>
      <c r="C10" s="11" t="s">
        <v>76</v>
      </c>
      <c r="D10" s="11" t="s">
        <v>145</v>
      </c>
      <c r="E10" s="11" t="s">
        <v>226</v>
      </c>
      <c r="F10" s="17" t="s">
        <v>234</v>
      </c>
      <c r="G10" s="21" t="s">
        <v>236</v>
      </c>
      <c r="H10" s="61" t="s">
        <v>238</v>
      </c>
      <c r="I10" s="62"/>
      <c r="J10" s="63"/>
      <c r="K10" s="61" t="s">
        <v>247</v>
      </c>
      <c r="L10" s="63"/>
      <c r="M10" s="29" t="s">
        <v>248</v>
      </c>
      <c r="N10" s="35"/>
    </row>
    <row r="11" spans="1:24" ht="12.75">
      <c r="A11" s="2" t="s">
        <v>6</v>
      </c>
      <c r="B11" s="12" t="s">
        <v>6</v>
      </c>
      <c r="C11" s="12" t="s">
        <v>6</v>
      </c>
      <c r="D11" s="16" t="s">
        <v>146</v>
      </c>
      <c r="E11" s="12" t="s">
        <v>6</v>
      </c>
      <c r="F11" s="12" t="s">
        <v>6</v>
      </c>
      <c r="G11" s="22" t="s">
        <v>237</v>
      </c>
      <c r="H11" s="23" t="s">
        <v>239</v>
      </c>
      <c r="I11" s="24" t="s">
        <v>245</v>
      </c>
      <c r="J11" s="25" t="s">
        <v>246</v>
      </c>
      <c r="K11" s="23" t="s">
        <v>236</v>
      </c>
      <c r="L11" s="25" t="s">
        <v>246</v>
      </c>
      <c r="M11" s="30" t="s">
        <v>249</v>
      </c>
      <c r="N11" s="35"/>
      <c r="P11" s="27" t="s">
        <v>251</v>
      </c>
      <c r="Q11" s="27" t="s">
        <v>252</v>
      </c>
      <c r="R11" s="27" t="s">
        <v>253</v>
      </c>
      <c r="S11" s="27" t="s">
        <v>254</v>
      </c>
      <c r="T11" s="27" t="s">
        <v>255</v>
      </c>
      <c r="U11" s="27" t="s">
        <v>256</v>
      </c>
      <c r="V11" s="27" t="s">
        <v>257</v>
      </c>
      <c r="W11" s="27" t="s">
        <v>258</v>
      </c>
      <c r="X11" s="27" t="s">
        <v>259</v>
      </c>
    </row>
    <row r="12" spans="1:13" ht="12.75">
      <c r="A12" s="3"/>
      <c r="B12" s="13" t="s">
        <v>72</v>
      </c>
      <c r="C12" s="13"/>
      <c r="D12" s="13" t="s">
        <v>147</v>
      </c>
      <c r="E12" s="3" t="s">
        <v>6</v>
      </c>
      <c r="F12" s="3" t="s">
        <v>6</v>
      </c>
      <c r="G12" s="3" t="s">
        <v>6</v>
      </c>
      <c r="H12" s="38">
        <f>H13+H15+H18+H20+H22+H25+H27</f>
        <v>0</v>
      </c>
      <c r="I12" s="38">
        <f>I13+I15+I18+I20+I22+I25+I27</f>
        <v>0</v>
      </c>
      <c r="J12" s="38">
        <f>H12+I12</f>
        <v>0</v>
      </c>
      <c r="K12" s="26"/>
      <c r="L12" s="38">
        <f>L13+L15+L18+L20+L22+L25+L27</f>
        <v>0.03473999999999999</v>
      </c>
      <c r="M12" s="26"/>
    </row>
    <row r="13" spans="1:37" ht="12.75">
      <c r="A13" s="4"/>
      <c r="B13" s="14" t="s">
        <v>72</v>
      </c>
      <c r="C13" s="14" t="s">
        <v>77</v>
      </c>
      <c r="D13" s="14" t="s">
        <v>148</v>
      </c>
      <c r="E13" s="4" t="s">
        <v>6</v>
      </c>
      <c r="F13" s="4" t="s">
        <v>6</v>
      </c>
      <c r="G13" s="4" t="s">
        <v>6</v>
      </c>
      <c r="H13" s="39">
        <f>SUM(H14:H14)</f>
        <v>0</v>
      </c>
      <c r="I13" s="39">
        <f>SUM(I14:I14)</f>
        <v>0</v>
      </c>
      <c r="J13" s="39">
        <f>H13+I13</f>
        <v>0</v>
      </c>
      <c r="K13" s="27"/>
      <c r="L13" s="39">
        <f>SUM(L14:L14)</f>
        <v>0.00036</v>
      </c>
      <c r="M13" s="27"/>
      <c r="Y13" s="27" t="s">
        <v>72</v>
      </c>
      <c r="AI13" s="39">
        <f>SUM(Z14:Z14)</f>
        <v>0</v>
      </c>
      <c r="AJ13" s="39">
        <f>SUM(AA14:AA14)</f>
        <v>0</v>
      </c>
      <c r="AK13" s="39">
        <f>SUM(AB14:AB14)</f>
        <v>0</v>
      </c>
    </row>
    <row r="14" spans="1:48" ht="12.75">
      <c r="A14" s="5" t="s">
        <v>7</v>
      </c>
      <c r="B14" s="5" t="s">
        <v>72</v>
      </c>
      <c r="C14" s="5" t="s">
        <v>78</v>
      </c>
      <c r="D14" s="5" t="s">
        <v>149</v>
      </c>
      <c r="E14" s="5" t="s">
        <v>227</v>
      </c>
      <c r="F14" s="18">
        <v>2</v>
      </c>
      <c r="G14" s="18">
        <v>0</v>
      </c>
      <c r="H14" s="18">
        <f>F14*AE14</f>
        <v>0</v>
      </c>
      <c r="I14" s="18">
        <f>J14-H14</f>
        <v>0</v>
      </c>
      <c r="J14" s="18">
        <f>F14*G14</f>
        <v>0</v>
      </c>
      <c r="K14" s="18">
        <v>0.00018</v>
      </c>
      <c r="L14" s="18">
        <f>F14*K14</f>
        <v>0.00036</v>
      </c>
      <c r="M14" s="31" t="s">
        <v>250</v>
      </c>
      <c r="P14" s="36">
        <f>IF(AG14="5",J14,0)</f>
        <v>0</v>
      </c>
      <c r="R14" s="36">
        <f>IF(AG14="1",H14,0)</f>
        <v>0</v>
      </c>
      <c r="S14" s="36">
        <f>IF(AG14="1",I14,0)</f>
        <v>0</v>
      </c>
      <c r="T14" s="36">
        <f>IF(AG14="7",H14,0)</f>
        <v>0</v>
      </c>
      <c r="U14" s="36">
        <f>IF(AG14="7",I14,0)</f>
        <v>0</v>
      </c>
      <c r="V14" s="36">
        <f>IF(AG14="2",H14,0)</f>
        <v>0</v>
      </c>
      <c r="W14" s="36">
        <f>IF(AG14="2",I14,0)</f>
        <v>0</v>
      </c>
      <c r="X14" s="36">
        <f>IF(AG14="0",J14,0)</f>
        <v>0</v>
      </c>
      <c r="Y14" s="27" t="s">
        <v>72</v>
      </c>
      <c r="Z14" s="18">
        <f>IF(AD14=0,J14,0)</f>
        <v>0</v>
      </c>
      <c r="AA14" s="18">
        <f>IF(AD14=15,J14,0)</f>
        <v>0</v>
      </c>
      <c r="AB14" s="18">
        <f>IF(AD14=21,J14,0)</f>
        <v>0</v>
      </c>
      <c r="AD14" s="36">
        <v>21</v>
      </c>
      <c r="AE14" s="36">
        <f>G14*0.544385382059801</f>
        <v>0</v>
      </c>
      <c r="AF14" s="36">
        <f>G14*(1-0.544385382059801)</f>
        <v>0</v>
      </c>
      <c r="AG14" s="31" t="s">
        <v>13</v>
      </c>
      <c r="AM14" s="36">
        <f>F14*AE14</f>
        <v>0</v>
      </c>
      <c r="AN14" s="36">
        <f>F14*AF14</f>
        <v>0</v>
      </c>
      <c r="AO14" s="37" t="s">
        <v>261</v>
      </c>
      <c r="AP14" s="37" t="s">
        <v>272</v>
      </c>
      <c r="AQ14" s="27" t="s">
        <v>283</v>
      </c>
      <c r="AS14" s="36">
        <f>AM14+AN14</f>
        <v>0</v>
      </c>
      <c r="AT14" s="36">
        <f>G14/(100-AU14)*100</f>
        <v>0</v>
      </c>
      <c r="AU14" s="36">
        <v>0</v>
      </c>
      <c r="AV14" s="36">
        <f>L14</f>
        <v>0.00036</v>
      </c>
    </row>
    <row r="15" spans="1:37" ht="12.75">
      <c r="A15" s="4"/>
      <c r="B15" s="14" t="s">
        <v>72</v>
      </c>
      <c r="C15" s="14" t="s">
        <v>79</v>
      </c>
      <c r="D15" s="14" t="s">
        <v>150</v>
      </c>
      <c r="E15" s="4" t="s">
        <v>6</v>
      </c>
      <c r="F15" s="4" t="s">
        <v>6</v>
      </c>
      <c r="G15" s="4" t="s">
        <v>6</v>
      </c>
      <c r="H15" s="39">
        <f>SUM(H16:H17)</f>
        <v>0</v>
      </c>
      <c r="I15" s="39">
        <f>SUM(I16:I17)</f>
        <v>0</v>
      </c>
      <c r="J15" s="39">
        <f>H15+I15</f>
        <v>0</v>
      </c>
      <c r="K15" s="27"/>
      <c r="L15" s="39">
        <f>SUM(L16:L17)</f>
        <v>0.02266</v>
      </c>
      <c r="M15" s="27"/>
      <c r="Y15" s="27" t="s">
        <v>72</v>
      </c>
      <c r="AI15" s="39">
        <f>SUM(Z16:Z17)</f>
        <v>0</v>
      </c>
      <c r="AJ15" s="39">
        <f>SUM(AA16:AA17)</f>
        <v>0</v>
      </c>
      <c r="AK15" s="39">
        <f>SUM(AB16:AB17)</f>
        <v>0</v>
      </c>
    </row>
    <row r="16" spans="1:48" ht="12.75">
      <c r="A16" s="5" t="s">
        <v>8</v>
      </c>
      <c r="B16" s="5" t="s">
        <v>72</v>
      </c>
      <c r="C16" s="5" t="s">
        <v>80</v>
      </c>
      <c r="D16" s="5" t="s">
        <v>151</v>
      </c>
      <c r="E16" s="5" t="s">
        <v>228</v>
      </c>
      <c r="F16" s="18">
        <v>1</v>
      </c>
      <c r="G16" s="18">
        <v>0</v>
      </c>
      <c r="H16" s="18">
        <f>F16*AE16</f>
        <v>0</v>
      </c>
      <c r="I16" s="18">
        <f>J16-H16</f>
        <v>0</v>
      </c>
      <c r="J16" s="18">
        <f>F16*G16</f>
        <v>0</v>
      </c>
      <c r="K16" s="18">
        <v>0.00059</v>
      </c>
      <c r="L16" s="18">
        <f>F16*K16</f>
        <v>0.00059</v>
      </c>
      <c r="M16" s="31" t="s">
        <v>250</v>
      </c>
      <c r="P16" s="36">
        <f>IF(AG16="5",J16,0)</f>
        <v>0</v>
      </c>
      <c r="R16" s="36">
        <f>IF(AG16="1",H16,0)</f>
        <v>0</v>
      </c>
      <c r="S16" s="36">
        <f>IF(AG16="1",I16,0)</f>
        <v>0</v>
      </c>
      <c r="T16" s="36">
        <f>IF(AG16="7",H16,0)</f>
        <v>0</v>
      </c>
      <c r="U16" s="36">
        <f>IF(AG16="7",I16,0)</f>
        <v>0</v>
      </c>
      <c r="V16" s="36">
        <f>IF(AG16="2",H16,0)</f>
        <v>0</v>
      </c>
      <c r="W16" s="36">
        <f>IF(AG16="2",I16,0)</f>
        <v>0</v>
      </c>
      <c r="X16" s="36">
        <f>IF(AG16="0",J16,0)</f>
        <v>0</v>
      </c>
      <c r="Y16" s="27" t="s">
        <v>72</v>
      </c>
      <c r="Z16" s="18">
        <f>IF(AD16=0,J16,0)</f>
        <v>0</v>
      </c>
      <c r="AA16" s="18">
        <f>IF(AD16=15,J16,0)</f>
        <v>0</v>
      </c>
      <c r="AB16" s="18">
        <f>IF(AD16=21,J16,0)</f>
        <v>0</v>
      </c>
      <c r="AD16" s="36">
        <v>21</v>
      </c>
      <c r="AE16" s="36">
        <f>G16*0.263355704697987</f>
        <v>0</v>
      </c>
      <c r="AF16" s="36">
        <f>G16*(1-0.263355704697987)</f>
        <v>0</v>
      </c>
      <c r="AG16" s="31" t="s">
        <v>13</v>
      </c>
      <c r="AM16" s="36">
        <f>F16*AE16</f>
        <v>0</v>
      </c>
      <c r="AN16" s="36">
        <f>F16*AF16</f>
        <v>0</v>
      </c>
      <c r="AO16" s="37" t="s">
        <v>262</v>
      </c>
      <c r="AP16" s="37" t="s">
        <v>273</v>
      </c>
      <c r="AQ16" s="27" t="s">
        <v>283</v>
      </c>
      <c r="AS16" s="36">
        <f>AM16+AN16</f>
        <v>0</v>
      </c>
      <c r="AT16" s="36">
        <f>G16/(100-AU16)*100</f>
        <v>0</v>
      </c>
      <c r="AU16" s="36">
        <v>0</v>
      </c>
      <c r="AV16" s="36">
        <f>L16</f>
        <v>0.00059</v>
      </c>
    </row>
    <row r="17" spans="1:48" ht="12.75">
      <c r="A17" s="5" t="s">
        <v>9</v>
      </c>
      <c r="B17" s="5" t="s">
        <v>72</v>
      </c>
      <c r="C17" s="5" t="s">
        <v>81</v>
      </c>
      <c r="D17" s="5" t="s">
        <v>152</v>
      </c>
      <c r="E17" s="5" t="s">
        <v>229</v>
      </c>
      <c r="F17" s="18">
        <v>1</v>
      </c>
      <c r="G17" s="18">
        <v>0</v>
      </c>
      <c r="H17" s="18">
        <f>F17*AE17</f>
        <v>0</v>
      </c>
      <c r="I17" s="18">
        <f>J17-H17</f>
        <v>0</v>
      </c>
      <c r="J17" s="18">
        <f>F17*G17</f>
        <v>0</v>
      </c>
      <c r="K17" s="18">
        <v>0.02207</v>
      </c>
      <c r="L17" s="18">
        <f>F17*K17</f>
        <v>0.02207</v>
      </c>
      <c r="M17" s="31" t="s">
        <v>250</v>
      </c>
      <c r="P17" s="36">
        <f>IF(AG17="5",J17,0)</f>
        <v>0</v>
      </c>
      <c r="R17" s="36">
        <f>IF(AG17="1",H17,0)</f>
        <v>0</v>
      </c>
      <c r="S17" s="36">
        <f>IF(AG17="1",I17,0)</f>
        <v>0</v>
      </c>
      <c r="T17" s="36">
        <f>IF(AG17="7",H17,0)</f>
        <v>0</v>
      </c>
      <c r="U17" s="36">
        <f>IF(AG17="7",I17,0)</f>
        <v>0</v>
      </c>
      <c r="V17" s="36">
        <f>IF(AG17="2",H17,0)</f>
        <v>0</v>
      </c>
      <c r="W17" s="36">
        <f>IF(AG17="2",I17,0)</f>
        <v>0</v>
      </c>
      <c r="X17" s="36">
        <f>IF(AG17="0",J17,0)</f>
        <v>0</v>
      </c>
      <c r="Y17" s="27" t="s">
        <v>72</v>
      </c>
      <c r="Z17" s="18">
        <f>IF(AD17=0,J17,0)</f>
        <v>0</v>
      </c>
      <c r="AA17" s="18">
        <f>IF(AD17=15,J17,0)</f>
        <v>0</v>
      </c>
      <c r="AB17" s="18">
        <f>IF(AD17=21,J17,0)</f>
        <v>0</v>
      </c>
      <c r="AD17" s="36">
        <v>21</v>
      </c>
      <c r="AE17" s="36">
        <f>G17*0.0394818652849741</f>
        <v>0</v>
      </c>
      <c r="AF17" s="36">
        <f>G17*(1-0.0394818652849741)</f>
        <v>0</v>
      </c>
      <c r="AG17" s="31" t="s">
        <v>13</v>
      </c>
      <c r="AM17" s="36">
        <f>F17*AE17</f>
        <v>0</v>
      </c>
      <c r="AN17" s="36">
        <f>F17*AF17</f>
        <v>0</v>
      </c>
      <c r="AO17" s="37" t="s">
        <v>262</v>
      </c>
      <c r="AP17" s="37" t="s">
        <v>273</v>
      </c>
      <c r="AQ17" s="27" t="s">
        <v>283</v>
      </c>
      <c r="AS17" s="36">
        <f>AM17+AN17</f>
        <v>0</v>
      </c>
      <c r="AT17" s="36">
        <f>G17/(100-AU17)*100</f>
        <v>0</v>
      </c>
      <c r="AU17" s="36">
        <v>0</v>
      </c>
      <c r="AV17" s="36">
        <f>L17</f>
        <v>0.02207</v>
      </c>
    </row>
    <row r="18" spans="1:37" ht="12.75">
      <c r="A18" s="4"/>
      <c r="B18" s="14" t="s">
        <v>72</v>
      </c>
      <c r="C18" s="14" t="s">
        <v>82</v>
      </c>
      <c r="D18" s="14" t="s">
        <v>153</v>
      </c>
      <c r="E18" s="4" t="s">
        <v>6</v>
      </c>
      <c r="F18" s="4" t="s">
        <v>6</v>
      </c>
      <c r="G18" s="4" t="s">
        <v>6</v>
      </c>
      <c r="H18" s="39">
        <f>SUM(H19:H19)</f>
        <v>0</v>
      </c>
      <c r="I18" s="39">
        <f>SUM(I19:I19)</f>
        <v>0</v>
      </c>
      <c r="J18" s="39">
        <f>H18+I18</f>
        <v>0</v>
      </c>
      <c r="K18" s="27"/>
      <c r="L18" s="39">
        <f>SUM(L19:L19)</f>
        <v>0.01014</v>
      </c>
      <c r="M18" s="27"/>
      <c r="Y18" s="27" t="s">
        <v>72</v>
      </c>
      <c r="AI18" s="39">
        <f>SUM(Z19:Z19)</f>
        <v>0</v>
      </c>
      <c r="AJ18" s="39">
        <f>SUM(AA19:AA19)</f>
        <v>0</v>
      </c>
      <c r="AK18" s="39">
        <f>SUM(AB19:AB19)</f>
        <v>0</v>
      </c>
    </row>
    <row r="19" spans="1:48" ht="12.75">
      <c r="A19" s="5" t="s">
        <v>10</v>
      </c>
      <c r="B19" s="5" t="s">
        <v>72</v>
      </c>
      <c r="C19" s="5" t="s">
        <v>83</v>
      </c>
      <c r="D19" s="5" t="s">
        <v>154</v>
      </c>
      <c r="E19" s="5" t="s">
        <v>227</v>
      </c>
      <c r="F19" s="18">
        <v>1</v>
      </c>
      <c r="G19" s="18">
        <v>0</v>
      </c>
      <c r="H19" s="18">
        <f>F19*AE19</f>
        <v>0</v>
      </c>
      <c r="I19" s="18">
        <f>J19-H19</f>
        <v>0</v>
      </c>
      <c r="J19" s="18">
        <f>F19*G19</f>
        <v>0</v>
      </c>
      <c r="K19" s="18">
        <v>0.01014</v>
      </c>
      <c r="L19" s="18">
        <f>F19*K19</f>
        <v>0.01014</v>
      </c>
      <c r="M19" s="31" t="s">
        <v>250</v>
      </c>
      <c r="P19" s="36">
        <f>IF(AG19="5",J19,0)</f>
        <v>0</v>
      </c>
      <c r="R19" s="36">
        <f>IF(AG19="1",H19,0)</f>
        <v>0</v>
      </c>
      <c r="S19" s="36">
        <f>IF(AG19="1",I19,0)</f>
        <v>0</v>
      </c>
      <c r="T19" s="36">
        <f>IF(AG19="7",H19,0)</f>
        <v>0</v>
      </c>
      <c r="U19" s="36">
        <f>IF(AG19="7",I19,0)</f>
        <v>0</v>
      </c>
      <c r="V19" s="36">
        <f>IF(AG19="2",H19,0)</f>
        <v>0</v>
      </c>
      <c r="W19" s="36">
        <f>IF(AG19="2",I19,0)</f>
        <v>0</v>
      </c>
      <c r="X19" s="36">
        <f>IF(AG19="0",J19,0)</f>
        <v>0</v>
      </c>
      <c r="Y19" s="27" t="s">
        <v>72</v>
      </c>
      <c r="Z19" s="18">
        <f>IF(AD19=0,J19,0)</f>
        <v>0</v>
      </c>
      <c r="AA19" s="18">
        <f>IF(AD19=15,J19,0)</f>
        <v>0</v>
      </c>
      <c r="AB19" s="18">
        <f>IF(AD19=21,J19,0)</f>
        <v>0</v>
      </c>
      <c r="AD19" s="36">
        <v>21</v>
      </c>
      <c r="AE19" s="36">
        <f>G19*0.542039800995025</f>
        <v>0</v>
      </c>
      <c r="AF19" s="36">
        <f>G19*(1-0.542039800995025)</f>
        <v>0</v>
      </c>
      <c r="AG19" s="31" t="s">
        <v>13</v>
      </c>
      <c r="AM19" s="36">
        <f>F19*AE19</f>
        <v>0</v>
      </c>
      <c r="AN19" s="36">
        <f>F19*AF19</f>
        <v>0</v>
      </c>
      <c r="AO19" s="37" t="s">
        <v>263</v>
      </c>
      <c r="AP19" s="37" t="s">
        <v>273</v>
      </c>
      <c r="AQ19" s="27" t="s">
        <v>283</v>
      </c>
      <c r="AS19" s="36">
        <f>AM19+AN19</f>
        <v>0</v>
      </c>
      <c r="AT19" s="36">
        <f>G19/(100-AU19)*100</f>
        <v>0</v>
      </c>
      <c r="AU19" s="36">
        <v>0</v>
      </c>
      <c r="AV19" s="36">
        <f>L19</f>
        <v>0.01014</v>
      </c>
    </row>
    <row r="20" spans="1:37" ht="12.75">
      <c r="A20" s="4"/>
      <c r="B20" s="14" t="s">
        <v>72</v>
      </c>
      <c r="C20" s="14" t="s">
        <v>84</v>
      </c>
      <c r="D20" s="14" t="s">
        <v>155</v>
      </c>
      <c r="E20" s="4" t="s">
        <v>6</v>
      </c>
      <c r="F20" s="4" t="s">
        <v>6</v>
      </c>
      <c r="G20" s="4" t="s">
        <v>6</v>
      </c>
      <c r="H20" s="39">
        <f>SUM(H21:H21)</f>
        <v>0</v>
      </c>
      <c r="I20" s="39">
        <f>SUM(I21:I21)</f>
        <v>0</v>
      </c>
      <c r="J20" s="39">
        <f>H20+I20</f>
        <v>0</v>
      </c>
      <c r="K20" s="27"/>
      <c r="L20" s="39">
        <f>SUM(L21:L21)</f>
        <v>0.00158</v>
      </c>
      <c r="M20" s="27"/>
      <c r="Y20" s="27" t="s">
        <v>72</v>
      </c>
      <c r="AI20" s="39">
        <f>SUM(Z21:Z21)</f>
        <v>0</v>
      </c>
      <c r="AJ20" s="39">
        <f>SUM(AA21:AA21)</f>
        <v>0</v>
      </c>
      <c r="AK20" s="39">
        <f>SUM(AB21:AB21)</f>
        <v>0</v>
      </c>
    </row>
    <row r="21" spans="1:48" ht="12.75">
      <c r="A21" s="5" t="s">
        <v>11</v>
      </c>
      <c r="B21" s="5" t="s">
        <v>72</v>
      </c>
      <c r="C21" s="5" t="s">
        <v>85</v>
      </c>
      <c r="D21" s="5" t="s">
        <v>156</v>
      </c>
      <c r="E21" s="5" t="s">
        <v>229</v>
      </c>
      <c r="F21" s="18">
        <v>2</v>
      </c>
      <c r="G21" s="18">
        <v>0</v>
      </c>
      <c r="H21" s="18">
        <f>F21*AE21</f>
        <v>0</v>
      </c>
      <c r="I21" s="18">
        <f>J21-H21</f>
        <v>0</v>
      </c>
      <c r="J21" s="18">
        <f>F21*G21</f>
        <v>0</v>
      </c>
      <c r="K21" s="18">
        <v>0.00079</v>
      </c>
      <c r="L21" s="18">
        <f>F21*K21</f>
        <v>0.00158</v>
      </c>
      <c r="M21" s="31" t="s">
        <v>250</v>
      </c>
      <c r="P21" s="36">
        <f>IF(AG21="5",J21,0)</f>
        <v>0</v>
      </c>
      <c r="R21" s="36">
        <f>IF(AG21="1",H21,0)</f>
        <v>0</v>
      </c>
      <c r="S21" s="36">
        <f>IF(AG21="1",I21,0)</f>
        <v>0</v>
      </c>
      <c r="T21" s="36">
        <f>IF(AG21="7",H21,0)</f>
        <v>0</v>
      </c>
      <c r="U21" s="36">
        <f>IF(AG21="7",I21,0)</f>
        <v>0</v>
      </c>
      <c r="V21" s="36">
        <f>IF(AG21="2",H21,0)</f>
        <v>0</v>
      </c>
      <c r="W21" s="36">
        <f>IF(AG21="2",I21,0)</f>
        <v>0</v>
      </c>
      <c r="X21" s="36">
        <f>IF(AG21="0",J21,0)</f>
        <v>0</v>
      </c>
      <c r="Y21" s="27" t="s">
        <v>72</v>
      </c>
      <c r="Z21" s="18">
        <f>IF(AD21=0,J21,0)</f>
        <v>0</v>
      </c>
      <c r="AA21" s="18">
        <f>IF(AD21=15,J21,0)</f>
        <v>0</v>
      </c>
      <c r="AB21" s="18">
        <f>IF(AD21=21,J21,0)</f>
        <v>0</v>
      </c>
      <c r="AD21" s="36">
        <v>21</v>
      </c>
      <c r="AE21" s="36">
        <f>G21*0.341444141689373</f>
        <v>0</v>
      </c>
      <c r="AF21" s="36">
        <f>G21*(1-0.341444141689373)</f>
        <v>0</v>
      </c>
      <c r="AG21" s="31" t="s">
        <v>13</v>
      </c>
      <c r="AM21" s="36">
        <f>F21*AE21</f>
        <v>0</v>
      </c>
      <c r="AN21" s="36">
        <f>F21*AF21</f>
        <v>0</v>
      </c>
      <c r="AO21" s="37" t="s">
        <v>264</v>
      </c>
      <c r="AP21" s="37" t="s">
        <v>273</v>
      </c>
      <c r="AQ21" s="27" t="s">
        <v>283</v>
      </c>
      <c r="AS21" s="36">
        <f>AM21+AN21</f>
        <v>0</v>
      </c>
      <c r="AT21" s="36">
        <f>G21/(100-AU21)*100</f>
        <v>0</v>
      </c>
      <c r="AU21" s="36">
        <v>0</v>
      </c>
      <c r="AV21" s="36">
        <f>L21</f>
        <v>0.00158</v>
      </c>
    </row>
    <row r="22" spans="1:37" ht="12.75">
      <c r="A22" s="4"/>
      <c r="B22" s="14" t="s">
        <v>72</v>
      </c>
      <c r="C22" s="14" t="s">
        <v>86</v>
      </c>
      <c r="D22" s="14" t="s">
        <v>157</v>
      </c>
      <c r="E22" s="4" t="s">
        <v>6</v>
      </c>
      <c r="F22" s="4" t="s">
        <v>6</v>
      </c>
      <c r="G22" s="4" t="s">
        <v>6</v>
      </c>
      <c r="H22" s="39">
        <f>SUM(H23:H24)</f>
        <v>0</v>
      </c>
      <c r="I22" s="39">
        <f>SUM(I23:I24)</f>
        <v>0</v>
      </c>
      <c r="J22" s="39">
        <f>H22+I22</f>
        <v>0</v>
      </c>
      <c r="K22" s="27"/>
      <c r="L22" s="39">
        <f>SUM(L23:L24)</f>
        <v>0</v>
      </c>
      <c r="M22" s="27"/>
      <c r="Y22" s="27" t="s">
        <v>72</v>
      </c>
      <c r="AI22" s="39">
        <f>SUM(Z23:Z24)</f>
        <v>0</v>
      </c>
      <c r="AJ22" s="39">
        <f>SUM(AA23:AA24)</f>
        <v>0</v>
      </c>
      <c r="AK22" s="39">
        <f>SUM(AB23:AB24)</f>
        <v>0</v>
      </c>
    </row>
    <row r="23" spans="1:48" ht="12.75">
      <c r="A23" s="5" t="s">
        <v>12</v>
      </c>
      <c r="B23" s="5" t="s">
        <v>72</v>
      </c>
      <c r="C23" s="5" t="s">
        <v>87</v>
      </c>
      <c r="D23" s="5" t="s">
        <v>158</v>
      </c>
      <c r="E23" s="5" t="s">
        <v>230</v>
      </c>
      <c r="F23" s="18">
        <v>1</v>
      </c>
      <c r="G23" s="18">
        <v>0</v>
      </c>
      <c r="H23" s="18">
        <f>F23*AE23</f>
        <v>0</v>
      </c>
      <c r="I23" s="18">
        <f>J23-H23</f>
        <v>0</v>
      </c>
      <c r="J23" s="18">
        <f>F23*G23</f>
        <v>0</v>
      </c>
      <c r="K23" s="18">
        <v>0</v>
      </c>
      <c r="L23" s="18">
        <f>F23*K23</f>
        <v>0</v>
      </c>
      <c r="M23" s="31" t="s">
        <v>250</v>
      </c>
      <c r="P23" s="36">
        <f>IF(AG23="5",J23,0)</f>
        <v>0</v>
      </c>
      <c r="R23" s="36">
        <f>IF(AG23="1",H23,0)</f>
        <v>0</v>
      </c>
      <c r="S23" s="36">
        <f>IF(AG23="1",I23,0)</f>
        <v>0</v>
      </c>
      <c r="T23" s="36">
        <f>IF(AG23="7",H23,0)</f>
        <v>0</v>
      </c>
      <c r="U23" s="36">
        <f>IF(AG23="7",I23,0)</f>
        <v>0</v>
      </c>
      <c r="V23" s="36">
        <f>IF(AG23="2",H23,0)</f>
        <v>0</v>
      </c>
      <c r="W23" s="36">
        <f>IF(AG23="2",I23,0)</f>
        <v>0</v>
      </c>
      <c r="X23" s="36">
        <f>IF(AG23="0",J23,0)</f>
        <v>0</v>
      </c>
      <c r="Y23" s="27" t="s">
        <v>72</v>
      </c>
      <c r="Z23" s="18">
        <f>IF(AD23=0,J23,0)</f>
        <v>0</v>
      </c>
      <c r="AA23" s="18">
        <f>IF(AD23=15,J23,0)</f>
        <v>0</v>
      </c>
      <c r="AB23" s="18">
        <f>IF(AD23=21,J23,0)</f>
        <v>0</v>
      </c>
      <c r="AD23" s="36">
        <v>21</v>
      </c>
      <c r="AE23" s="36">
        <f>G23*0</f>
        <v>0</v>
      </c>
      <c r="AF23" s="36">
        <f>G23*(1-0)</f>
        <v>0</v>
      </c>
      <c r="AG23" s="31" t="s">
        <v>7</v>
      </c>
      <c r="AM23" s="36">
        <f>F23*AE23</f>
        <v>0</v>
      </c>
      <c r="AN23" s="36">
        <f>F23*AF23</f>
        <v>0</v>
      </c>
      <c r="AO23" s="37" t="s">
        <v>265</v>
      </c>
      <c r="AP23" s="37" t="s">
        <v>274</v>
      </c>
      <c r="AQ23" s="27" t="s">
        <v>283</v>
      </c>
      <c r="AS23" s="36">
        <f>AM23+AN23</f>
        <v>0</v>
      </c>
      <c r="AT23" s="36">
        <f>G23/(100-AU23)*100</f>
        <v>0</v>
      </c>
      <c r="AU23" s="36">
        <v>0</v>
      </c>
      <c r="AV23" s="36">
        <f>L23</f>
        <v>0</v>
      </c>
    </row>
    <row r="24" spans="1:48" ht="12.75">
      <c r="A24" s="5" t="s">
        <v>13</v>
      </c>
      <c r="B24" s="5" t="s">
        <v>72</v>
      </c>
      <c r="C24" s="5" t="s">
        <v>87</v>
      </c>
      <c r="D24" s="5" t="s">
        <v>159</v>
      </c>
      <c r="E24" s="5" t="s">
        <v>230</v>
      </c>
      <c r="F24" s="18">
        <v>1</v>
      </c>
      <c r="G24" s="18">
        <v>0</v>
      </c>
      <c r="H24" s="18">
        <f>F24*AE24</f>
        <v>0</v>
      </c>
      <c r="I24" s="18">
        <f>J24-H24</f>
        <v>0</v>
      </c>
      <c r="J24" s="18">
        <f>F24*G24</f>
        <v>0</v>
      </c>
      <c r="K24" s="18">
        <v>0</v>
      </c>
      <c r="L24" s="18">
        <f>F24*K24</f>
        <v>0</v>
      </c>
      <c r="M24" s="31" t="s">
        <v>250</v>
      </c>
      <c r="P24" s="36">
        <f>IF(AG24="5",J24,0)</f>
        <v>0</v>
      </c>
      <c r="R24" s="36">
        <f>IF(AG24="1",H24,0)</f>
        <v>0</v>
      </c>
      <c r="S24" s="36">
        <f>IF(AG24="1",I24,0)</f>
        <v>0</v>
      </c>
      <c r="T24" s="36">
        <f>IF(AG24="7",H24,0)</f>
        <v>0</v>
      </c>
      <c r="U24" s="36">
        <f>IF(AG24="7",I24,0)</f>
        <v>0</v>
      </c>
      <c r="V24" s="36">
        <f>IF(AG24="2",H24,0)</f>
        <v>0</v>
      </c>
      <c r="W24" s="36">
        <f>IF(AG24="2",I24,0)</f>
        <v>0</v>
      </c>
      <c r="X24" s="36">
        <f>IF(AG24="0",J24,0)</f>
        <v>0</v>
      </c>
      <c r="Y24" s="27" t="s">
        <v>72</v>
      </c>
      <c r="Z24" s="18">
        <f>IF(AD24=0,J24,0)</f>
        <v>0</v>
      </c>
      <c r="AA24" s="18">
        <f>IF(AD24=15,J24,0)</f>
        <v>0</v>
      </c>
      <c r="AB24" s="18">
        <f>IF(AD24=21,J24,0)</f>
        <v>0</v>
      </c>
      <c r="AD24" s="36">
        <v>21</v>
      </c>
      <c r="AE24" s="36">
        <f>G24*0</f>
        <v>0</v>
      </c>
      <c r="AF24" s="36">
        <f>G24*(1-0)</f>
        <v>0</v>
      </c>
      <c r="AG24" s="31" t="s">
        <v>7</v>
      </c>
      <c r="AM24" s="36">
        <f>F24*AE24</f>
        <v>0</v>
      </c>
      <c r="AN24" s="36">
        <f>F24*AF24</f>
        <v>0</v>
      </c>
      <c r="AO24" s="37" t="s">
        <v>265</v>
      </c>
      <c r="AP24" s="37" t="s">
        <v>274</v>
      </c>
      <c r="AQ24" s="27" t="s">
        <v>283</v>
      </c>
      <c r="AS24" s="36">
        <f>AM24+AN24</f>
        <v>0</v>
      </c>
      <c r="AT24" s="36">
        <f>G24/(100-AU24)*100</f>
        <v>0</v>
      </c>
      <c r="AU24" s="36">
        <v>0</v>
      </c>
      <c r="AV24" s="36">
        <f>L24</f>
        <v>0</v>
      </c>
    </row>
    <row r="25" spans="1:37" ht="12.75">
      <c r="A25" s="4"/>
      <c r="B25" s="14" t="s">
        <v>72</v>
      </c>
      <c r="C25" s="14" t="s">
        <v>88</v>
      </c>
      <c r="D25" s="14" t="s">
        <v>155</v>
      </c>
      <c r="E25" s="4" t="s">
        <v>6</v>
      </c>
      <c r="F25" s="4" t="s">
        <v>6</v>
      </c>
      <c r="G25" s="4" t="s">
        <v>6</v>
      </c>
      <c r="H25" s="39">
        <f>SUM(H26:H26)</f>
        <v>0</v>
      </c>
      <c r="I25" s="39">
        <f>SUM(I26:I26)</f>
        <v>0</v>
      </c>
      <c r="J25" s="39">
        <f>H25+I25</f>
        <v>0</v>
      </c>
      <c r="K25" s="27"/>
      <c r="L25" s="39">
        <f>SUM(L26:L26)</f>
        <v>0</v>
      </c>
      <c r="M25" s="27"/>
      <c r="Y25" s="27" t="s">
        <v>72</v>
      </c>
      <c r="AI25" s="39">
        <f>SUM(Z26:Z26)</f>
        <v>0</v>
      </c>
      <c r="AJ25" s="39">
        <f>SUM(AA26:AA26)</f>
        <v>0</v>
      </c>
      <c r="AK25" s="39">
        <f>SUM(AB26:AB26)</f>
        <v>0</v>
      </c>
    </row>
    <row r="26" spans="1:48" ht="12.75">
      <c r="A26" s="5" t="s">
        <v>14</v>
      </c>
      <c r="B26" s="5" t="s">
        <v>72</v>
      </c>
      <c r="C26" s="5" t="s">
        <v>89</v>
      </c>
      <c r="D26" s="5" t="s">
        <v>160</v>
      </c>
      <c r="E26" s="5" t="s">
        <v>231</v>
      </c>
      <c r="F26" s="18">
        <v>0</v>
      </c>
      <c r="G26" s="18">
        <v>0.37</v>
      </c>
      <c r="H26" s="18">
        <f>F26*AE26</f>
        <v>0</v>
      </c>
      <c r="I26" s="18">
        <f>J26-H26</f>
        <v>0</v>
      </c>
      <c r="J26" s="18">
        <f>F26*G26</f>
        <v>0</v>
      </c>
      <c r="K26" s="18">
        <v>0</v>
      </c>
      <c r="L26" s="18">
        <f>F26*K26</f>
        <v>0</v>
      </c>
      <c r="M26" s="31" t="s">
        <v>250</v>
      </c>
      <c r="P26" s="36">
        <f>IF(AG26="5",J26,0)</f>
        <v>0</v>
      </c>
      <c r="R26" s="36">
        <f>IF(AG26="1",H26,0)</f>
        <v>0</v>
      </c>
      <c r="S26" s="36">
        <f>IF(AG26="1",I26,0)</f>
        <v>0</v>
      </c>
      <c r="T26" s="36">
        <f>IF(AG26="7",H26,0)</f>
        <v>0</v>
      </c>
      <c r="U26" s="36">
        <f>IF(AG26="7",I26,0)</f>
        <v>0</v>
      </c>
      <c r="V26" s="36">
        <f>IF(AG26="2",H26,0)</f>
        <v>0</v>
      </c>
      <c r="W26" s="36">
        <f>IF(AG26="2",I26,0)</f>
        <v>0</v>
      </c>
      <c r="X26" s="36">
        <f>IF(AG26="0",J26,0)</f>
        <v>0</v>
      </c>
      <c r="Y26" s="27" t="s">
        <v>72</v>
      </c>
      <c r="Z26" s="18">
        <f>IF(AD26=0,J26,0)</f>
        <v>0</v>
      </c>
      <c r="AA26" s="18">
        <f>IF(AD26=15,J26,0)</f>
        <v>0</v>
      </c>
      <c r="AB26" s="18">
        <f>IF(AD26=21,J26,0)</f>
        <v>0</v>
      </c>
      <c r="AD26" s="36">
        <v>21</v>
      </c>
      <c r="AE26" s="36">
        <f>G26*0</f>
        <v>0</v>
      </c>
      <c r="AF26" s="36">
        <f>G26*(1-0)</f>
        <v>0.37</v>
      </c>
      <c r="AG26" s="31" t="s">
        <v>11</v>
      </c>
      <c r="AM26" s="36">
        <f>F26*AE26</f>
        <v>0</v>
      </c>
      <c r="AN26" s="36">
        <f>F26*AF26</f>
        <v>0</v>
      </c>
      <c r="AO26" s="37" t="s">
        <v>266</v>
      </c>
      <c r="AP26" s="37" t="s">
        <v>274</v>
      </c>
      <c r="AQ26" s="27" t="s">
        <v>283</v>
      </c>
      <c r="AS26" s="36">
        <f>AM26+AN26</f>
        <v>0</v>
      </c>
      <c r="AT26" s="36">
        <f>G26/(100-AU26)*100</f>
        <v>0.37</v>
      </c>
      <c r="AU26" s="36">
        <v>0</v>
      </c>
      <c r="AV26" s="36">
        <f>L26</f>
        <v>0</v>
      </c>
    </row>
    <row r="27" spans="1:37" ht="12.75">
      <c r="A27" s="4"/>
      <c r="B27" s="14" t="s">
        <v>72</v>
      </c>
      <c r="C27" s="14"/>
      <c r="D27" s="14" t="s">
        <v>161</v>
      </c>
      <c r="E27" s="4" t="s">
        <v>6</v>
      </c>
      <c r="F27" s="4" t="s">
        <v>6</v>
      </c>
      <c r="G27" s="4" t="s">
        <v>6</v>
      </c>
      <c r="H27" s="39">
        <f>SUM(H28:H29)</f>
        <v>0</v>
      </c>
      <c r="I27" s="39">
        <f>SUM(I28:I29)</f>
        <v>0</v>
      </c>
      <c r="J27" s="39">
        <f>H27+I27</f>
        <v>0</v>
      </c>
      <c r="K27" s="27"/>
      <c r="L27" s="39">
        <f>SUM(L28:L29)</f>
        <v>0</v>
      </c>
      <c r="M27" s="27"/>
      <c r="Y27" s="27" t="s">
        <v>72</v>
      </c>
      <c r="AI27" s="39">
        <f>SUM(Z28:Z29)</f>
        <v>0</v>
      </c>
      <c r="AJ27" s="39">
        <f>SUM(AA28:AA29)</f>
        <v>0</v>
      </c>
      <c r="AK27" s="39">
        <f>SUM(AB28:AB29)</f>
        <v>0</v>
      </c>
    </row>
    <row r="28" spans="1:48" ht="12.75">
      <c r="A28" s="6" t="s">
        <v>15</v>
      </c>
      <c r="B28" s="6" t="s">
        <v>72</v>
      </c>
      <c r="C28" s="6" t="s">
        <v>90</v>
      </c>
      <c r="D28" s="6" t="s">
        <v>162</v>
      </c>
      <c r="E28" s="6" t="s">
        <v>232</v>
      </c>
      <c r="F28" s="19">
        <v>1</v>
      </c>
      <c r="G28" s="18">
        <v>0</v>
      </c>
      <c r="H28" s="19">
        <f>F28*AE28</f>
        <v>0</v>
      </c>
      <c r="I28" s="19">
        <f>J28-H28</f>
        <v>0</v>
      </c>
      <c r="J28" s="19">
        <f>F28*G28</f>
        <v>0</v>
      </c>
      <c r="K28" s="19">
        <v>0</v>
      </c>
      <c r="L28" s="19">
        <f>F28*K28</f>
        <v>0</v>
      </c>
      <c r="M28" s="32"/>
      <c r="P28" s="36">
        <f>IF(AG28="5",J28,0)</f>
        <v>0</v>
      </c>
      <c r="R28" s="36">
        <f>IF(AG28="1",H28,0)</f>
        <v>0</v>
      </c>
      <c r="S28" s="36">
        <f>IF(AG28="1",I28,0)</f>
        <v>0</v>
      </c>
      <c r="T28" s="36">
        <f>IF(AG28="7",H28,0)</f>
        <v>0</v>
      </c>
      <c r="U28" s="36">
        <f>IF(AG28="7",I28,0)</f>
        <v>0</v>
      </c>
      <c r="V28" s="36">
        <f>IF(AG28="2",H28,0)</f>
        <v>0</v>
      </c>
      <c r="W28" s="36">
        <f>IF(AG28="2",I28,0)</f>
        <v>0</v>
      </c>
      <c r="X28" s="36">
        <f>IF(AG28="0",J28,0)</f>
        <v>0</v>
      </c>
      <c r="Y28" s="27" t="s">
        <v>72</v>
      </c>
      <c r="Z28" s="19">
        <f>IF(AD28=0,J28,0)</f>
        <v>0</v>
      </c>
      <c r="AA28" s="19">
        <f>IF(AD28=15,J28,0)</f>
        <v>0</v>
      </c>
      <c r="AB28" s="19">
        <f>IF(AD28=21,J28,0)</f>
        <v>0</v>
      </c>
      <c r="AD28" s="36">
        <v>21</v>
      </c>
      <c r="AE28" s="36">
        <f>G28*1</f>
        <v>0</v>
      </c>
      <c r="AF28" s="36">
        <f>G28*(1-1)</f>
        <v>0</v>
      </c>
      <c r="AG28" s="32" t="s">
        <v>260</v>
      </c>
      <c r="AM28" s="36">
        <f>F28*AE28</f>
        <v>0</v>
      </c>
      <c r="AN28" s="36">
        <f>F28*AF28</f>
        <v>0</v>
      </c>
      <c r="AO28" s="37" t="s">
        <v>267</v>
      </c>
      <c r="AP28" s="37" t="s">
        <v>275</v>
      </c>
      <c r="AQ28" s="27" t="s">
        <v>283</v>
      </c>
      <c r="AS28" s="36">
        <f>AM28+AN28</f>
        <v>0</v>
      </c>
      <c r="AT28" s="36">
        <f>G28/(100-AU28)*100</f>
        <v>0</v>
      </c>
      <c r="AU28" s="36">
        <v>0</v>
      </c>
      <c r="AV28" s="36">
        <f>L28</f>
        <v>0</v>
      </c>
    </row>
    <row r="29" spans="1:48" ht="12.75">
      <c r="A29" s="6" t="s">
        <v>16</v>
      </c>
      <c r="B29" s="6" t="s">
        <v>72</v>
      </c>
      <c r="C29" s="6" t="s">
        <v>91</v>
      </c>
      <c r="D29" s="6" t="s">
        <v>163</v>
      </c>
      <c r="E29" s="6" t="s">
        <v>229</v>
      </c>
      <c r="F29" s="19">
        <v>1</v>
      </c>
      <c r="G29" s="18">
        <v>0</v>
      </c>
      <c r="H29" s="19">
        <f>F29*AE29</f>
        <v>0</v>
      </c>
      <c r="I29" s="19">
        <f>J29-H29</f>
        <v>0</v>
      </c>
      <c r="J29" s="19">
        <f>F29*G29</f>
        <v>0</v>
      </c>
      <c r="K29" s="19">
        <v>0</v>
      </c>
      <c r="L29" s="19">
        <f>F29*K29</f>
        <v>0</v>
      </c>
      <c r="M29" s="32"/>
      <c r="P29" s="36">
        <f>IF(AG29="5",J29,0)</f>
        <v>0</v>
      </c>
      <c r="R29" s="36">
        <f>IF(AG29="1",H29,0)</f>
        <v>0</v>
      </c>
      <c r="S29" s="36">
        <f>IF(AG29="1",I29,0)</f>
        <v>0</v>
      </c>
      <c r="T29" s="36">
        <f>IF(AG29="7",H29,0)</f>
        <v>0</v>
      </c>
      <c r="U29" s="36">
        <f>IF(AG29="7",I29,0)</f>
        <v>0</v>
      </c>
      <c r="V29" s="36">
        <f>IF(AG29="2",H29,0)</f>
        <v>0</v>
      </c>
      <c r="W29" s="36">
        <f>IF(AG29="2",I29,0)</f>
        <v>0</v>
      </c>
      <c r="X29" s="36">
        <f>IF(AG29="0",J29,0)</f>
        <v>0</v>
      </c>
      <c r="Y29" s="27" t="s">
        <v>72</v>
      </c>
      <c r="Z29" s="19">
        <f>IF(AD29=0,J29,0)</f>
        <v>0</v>
      </c>
      <c r="AA29" s="19">
        <f>IF(AD29=15,J29,0)</f>
        <v>0</v>
      </c>
      <c r="AB29" s="19">
        <f>IF(AD29=21,J29,0)</f>
        <v>0</v>
      </c>
      <c r="AD29" s="36">
        <v>21</v>
      </c>
      <c r="AE29" s="36">
        <f>G29*1</f>
        <v>0</v>
      </c>
      <c r="AF29" s="36">
        <f>G29*(1-1)</f>
        <v>0</v>
      </c>
      <c r="AG29" s="32" t="s">
        <v>260</v>
      </c>
      <c r="AM29" s="36">
        <f>F29*AE29</f>
        <v>0</v>
      </c>
      <c r="AN29" s="36">
        <f>F29*AF29</f>
        <v>0</v>
      </c>
      <c r="AO29" s="37" t="s">
        <v>267</v>
      </c>
      <c r="AP29" s="37" t="s">
        <v>275</v>
      </c>
      <c r="AQ29" s="27" t="s">
        <v>283</v>
      </c>
      <c r="AS29" s="36">
        <f>AM29+AN29</f>
        <v>0</v>
      </c>
      <c r="AT29" s="36">
        <f>G29/(100-AU29)*100</f>
        <v>0</v>
      </c>
      <c r="AU29" s="36">
        <v>0</v>
      </c>
      <c r="AV29" s="36">
        <f>L29</f>
        <v>0</v>
      </c>
    </row>
    <row r="30" spans="1:13" ht="12.75">
      <c r="A30" s="7"/>
      <c r="B30" s="15" t="s">
        <v>73</v>
      </c>
      <c r="C30" s="15"/>
      <c r="D30" s="15" t="s">
        <v>164</v>
      </c>
      <c r="E30" s="7" t="s">
        <v>6</v>
      </c>
      <c r="F30" s="7" t="s">
        <v>6</v>
      </c>
      <c r="G30" s="7" t="s">
        <v>6</v>
      </c>
      <c r="H30" s="40">
        <f>H31+H36+H45+H64+H70+H72+H76+H78</f>
        <v>0</v>
      </c>
      <c r="I30" s="40">
        <f>I31+I36+I45+I64+I70+I72+I76+I78</f>
        <v>0</v>
      </c>
      <c r="J30" s="40">
        <f>H30+I30</f>
        <v>0</v>
      </c>
      <c r="K30" s="28"/>
      <c r="L30" s="40">
        <f>L31+L36+L45+L64+L70+L72+L76+L78</f>
        <v>0.28351</v>
      </c>
      <c r="M30" s="28"/>
    </row>
    <row r="31" spans="1:37" ht="12.75">
      <c r="A31" s="4"/>
      <c r="B31" s="14" t="s">
        <v>73</v>
      </c>
      <c r="C31" s="14" t="s">
        <v>77</v>
      </c>
      <c r="D31" s="14" t="s">
        <v>148</v>
      </c>
      <c r="E31" s="4" t="s">
        <v>6</v>
      </c>
      <c r="F31" s="4" t="s">
        <v>6</v>
      </c>
      <c r="G31" s="4" t="s">
        <v>6</v>
      </c>
      <c r="H31" s="39">
        <f>SUM(H32:H35)</f>
        <v>0</v>
      </c>
      <c r="I31" s="39">
        <f>SUM(I32:I35)</f>
        <v>0</v>
      </c>
      <c r="J31" s="39">
        <f>H31+I31</f>
        <v>0</v>
      </c>
      <c r="K31" s="27"/>
      <c r="L31" s="39">
        <f>SUM(L32:L35)</f>
        <v>0.0005200000000000001</v>
      </c>
      <c r="M31" s="27"/>
      <c r="Y31" s="27" t="s">
        <v>73</v>
      </c>
      <c r="AI31" s="39">
        <f>SUM(Z32:Z35)</f>
        <v>0</v>
      </c>
      <c r="AJ31" s="39">
        <f>SUM(AA32:AA35)</f>
        <v>0</v>
      </c>
      <c r="AK31" s="39">
        <f>SUM(AB32:AB35)</f>
        <v>0</v>
      </c>
    </row>
    <row r="32" spans="1:48" ht="12.75">
      <c r="A32" s="5" t="s">
        <v>17</v>
      </c>
      <c r="B32" s="5" t="s">
        <v>73</v>
      </c>
      <c r="C32" s="5" t="s">
        <v>92</v>
      </c>
      <c r="D32" s="5" t="s">
        <v>165</v>
      </c>
      <c r="E32" s="5" t="s">
        <v>227</v>
      </c>
      <c r="F32" s="18">
        <v>4</v>
      </c>
      <c r="G32" s="18">
        <v>0</v>
      </c>
      <c r="H32" s="18">
        <f>F32*AE32</f>
        <v>0</v>
      </c>
      <c r="I32" s="18">
        <f>J32-H32</f>
        <v>0</v>
      </c>
      <c r="J32" s="18">
        <f>F32*G32</f>
        <v>0</v>
      </c>
      <c r="K32" s="18">
        <v>0</v>
      </c>
      <c r="L32" s="18">
        <f>F32*K32</f>
        <v>0</v>
      </c>
      <c r="M32" s="31" t="s">
        <v>250</v>
      </c>
      <c r="P32" s="36">
        <f>IF(AG32="5",J32,0)</f>
        <v>0</v>
      </c>
      <c r="R32" s="36">
        <f>IF(AG32="1",H32,0)</f>
        <v>0</v>
      </c>
      <c r="S32" s="36">
        <f>IF(AG32="1",I32,0)</f>
        <v>0</v>
      </c>
      <c r="T32" s="36">
        <f>IF(AG32="7",H32,0)</f>
        <v>0</v>
      </c>
      <c r="U32" s="36">
        <f>IF(AG32="7",I32,0)</f>
        <v>0</v>
      </c>
      <c r="V32" s="36">
        <f>IF(AG32="2",H32,0)</f>
        <v>0</v>
      </c>
      <c r="W32" s="36">
        <f>IF(AG32="2",I32,0)</f>
        <v>0</v>
      </c>
      <c r="X32" s="36">
        <f>IF(AG32="0",J32,0)</f>
        <v>0</v>
      </c>
      <c r="Y32" s="27" t="s">
        <v>73</v>
      </c>
      <c r="Z32" s="18">
        <f>IF(AD32=0,J32,0)</f>
        <v>0</v>
      </c>
      <c r="AA32" s="18">
        <f>IF(AD32=15,J32,0)</f>
        <v>0</v>
      </c>
      <c r="AB32" s="18">
        <f>IF(AD32=21,J32,0)</f>
        <v>0</v>
      </c>
      <c r="AD32" s="36">
        <v>21</v>
      </c>
      <c r="AE32" s="36">
        <f>G32*0</f>
        <v>0</v>
      </c>
      <c r="AF32" s="36">
        <f>G32*(1-0)</f>
        <v>0</v>
      </c>
      <c r="AG32" s="31" t="s">
        <v>13</v>
      </c>
      <c r="AM32" s="36">
        <f>F32*AE32</f>
        <v>0</v>
      </c>
      <c r="AN32" s="36">
        <f>F32*AF32</f>
        <v>0</v>
      </c>
      <c r="AO32" s="37" t="s">
        <v>261</v>
      </c>
      <c r="AP32" s="37" t="s">
        <v>276</v>
      </c>
      <c r="AQ32" s="27" t="s">
        <v>284</v>
      </c>
      <c r="AS32" s="36">
        <f>AM32+AN32</f>
        <v>0</v>
      </c>
      <c r="AT32" s="36">
        <f>G32/(100-AU32)*100</f>
        <v>0</v>
      </c>
      <c r="AU32" s="36">
        <v>0</v>
      </c>
      <c r="AV32" s="36">
        <f>L32</f>
        <v>0</v>
      </c>
    </row>
    <row r="33" spans="1:48" ht="12.75">
      <c r="A33" s="5" t="s">
        <v>18</v>
      </c>
      <c r="B33" s="5" t="s">
        <v>73</v>
      </c>
      <c r="C33" s="5" t="s">
        <v>93</v>
      </c>
      <c r="D33" s="5" t="s">
        <v>166</v>
      </c>
      <c r="E33" s="5" t="s">
        <v>227</v>
      </c>
      <c r="F33" s="18">
        <v>14</v>
      </c>
      <c r="G33" s="18">
        <v>0</v>
      </c>
      <c r="H33" s="18">
        <f>F33*AE33</f>
        <v>0</v>
      </c>
      <c r="I33" s="18">
        <f>J33-H33</f>
        <v>0</v>
      </c>
      <c r="J33" s="18">
        <f>F33*G33</f>
        <v>0</v>
      </c>
      <c r="K33" s="18">
        <v>0</v>
      </c>
      <c r="L33" s="18">
        <f>F33*K33</f>
        <v>0</v>
      </c>
      <c r="M33" s="31" t="s">
        <v>250</v>
      </c>
      <c r="P33" s="36">
        <f>IF(AG33="5",J33,0)</f>
        <v>0</v>
      </c>
      <c r="R33" s="36">
        <f>IF(AG33="1",H33,0)</f>
        <v>0</v>
      </c>
      <c r="S33" s="36">
        <f>IF(AG33="1",I33,0)</f>
        <v>0</v>
      </c>
      <c r="T33" s="36">
        <f>IF(AG33="7",H33,0)</f>
        <v>0</v>
      </c>
      <c r="U33" s="36">
        <f>IF(AG33="7",I33,0)</f>
        <v>0</v>
      </c>
      <c r="V33" s="36">
        <f>IF(AG33="2",H33,0)</f>
        <v>0</v>
      </c>
      <c r="W33" s="36">
        <f>IF(AG33="2",I33,0)</f>
        <v>0</v>
      </c>
      <c r="X33" s="36">
        <f>IF(AG33="0",J33,0)</f>
        <v>0</v>
      </c>
      <c r="Y33" s="27" t="s">
        <v>73</v>
      </c>
      <c r="Z33" s="18">
        <f>IF(AD33=0,J33,0)</f>
        <v>0</v>
      </c>
      <c r="AA33" s="18">
        <f>IF(AD33=15,J33,0)</f>
        <v>0</v>
      </c>
      <c r="AB33" s="18">
        <f>IF(AD33=21,J33,0)</f>
        <v>0</v>
      </c>
      <c r="AD33" s="36">
        <v>21</v>
      </c>
      <c r="AE33" s="36">
        <f>G33*0</f>
        <v>0</v>
      </c>
      <c r="AF33" s="36">
        <f>G33*(1-0)</f>
        <v>0</v>
      </c>
      <c r="AG33" s="31" t="s">
        <v>13</v>
      </c>
      <c r="AM33" s="36">
        <f>F33*AE33</f>
        <v>0</v>
      </c>
      <c r="AN33" s="36">
        <f>F33*AF33</f>
        <v>0</v>
      </c>
      <c r="AO33" s="37" t="s">
        <v>261</v>
      </c>
      <c r="AP33" s="37" t="s">
        <v>276</v>
      </c>
      <c r="AQ33" s="27" t="s">
        <v>284</v>
      </c>
      <c r="AS33" s="36">
        <f>AM33+AN33</f>
        <v>0</v>
      </c>
      <c r="AT33" s="36">
        <f>G33/(100-AU33)*100</f>
        <v>0</v>
      </c>
      <c r="AU33" s="36">
        <v>0</v>
      </c>
      <c r="AV33" s="36">
        <f>L33</f>
        <v>0</v>
      </c>
    </row>
    <row r="34" spans="1:48" ht="12.75">
      <c r="A34" s="5" t="s">
        <v>19</v>
      </c>
      <c r="B34" s="5" t="s">
        <v>73</v>
      </c>
      <c r="C34" s="5" t="s">
        <v>94</v>
      </c>
      <c r="D34" s="5" t="s">
        <v>167</v>
      </c>
      <c r="E34" s="5" t="s">
        <v>227</v>
      </c>
      <c r="F34" s="18">
        <v>14</v>
      </c>
      <c r="G34" s="18">
        <v>0</v>
      </c>
      <c r="H34" s="18">
        <f>F34*AE34</f>
        <v>0</v>
      </c>
      <c r="I34" s="18">
        <f>J34-H34</f>
        <v>0</v>
      </c>
      <c r="J34" s="18">
        <f>F34*G34</f>
        <v>0</v>
      </c>
      <c r="K34" s="18">
        <v>2E-05</v>
      </c>
      <c r="L34" s="18">
        <f>F34*K34</f>
        <v>0.00028000000000000003</v>
      </c>
      <c r="M34" s="31" t="s">
        <v>250</v>
      </c>
      <c r="P34" s="36">
        <f>IF(AG34="5",J34,0)</f>
        <v>0</v>
      </c>
      <c r="R34" s="36">
        <f>IF(AG34="1",H34,0)</f>
        <v>0</v>
      </c>
      <c r="S34" s="36">
        <f>IF(AG34="1",I34,0)</f>
        <v>0</v>
      </c>
      <c r="T34" s="36">
        <f>IF(AG34="7",H34,0)</f>
        <v>0</v>
      </c>
      <c r="U34" s="36">
        <f>IF(AG34="7",I34,0)</f>
        <v>0</v>
      </c>
      <c r="V34" s="36">
        <f>IF(AG34="2",H34,0)</f>
        <v>0</v>
      </c>
      <c r="W34" s="36">
        <f>IF(AG34="2",I34,0)</f>
        <v>0</v>
      </c>
      <c r="X34" s="36">
        <f>IF(AG34="0",J34,0)</f>
        <v>0</v>
      </c>
      <c r="Y34" s="27" t="s">
        <v>73</v>
      </c>
      <c r="Z34" s="18">
        <f>IF(AD34=0,J34,0)</f>
        <v>0</v>
      </c>
      <c r="AA34" s="18">
        <f>IF(AD34=15,J34,0)</f>
        <v>0</v>
      </c>
      <c r="AB34" s="18">
        <f>IF(AD34=21,J34,0)</f>
        <v>0</v>
      </c>
      <c r="AD34" s="36">
        <v>21</v>
      </c>
      <c r="AE34" s="36">
        <f>G34*0.311691884456671</f>
        <v>0</v>
      </c>
      <c r="AF34" s="36">
        <f>G34*(1-0.311691884456671)</f>
        <v>0</v>
      </c>
      <c r="AG34" s="31" t="s">
        <v>13</v>
      </c>
      <c r="AM34" s="36">
        <f>F34*AE34</f>
        <v>0</v>
      </c>
      <c r="AN34" s="36">
        <f>F34*AF34</f>
        <v>0</v>
      </c>
      <c r="AO34" s="37" t="s">
        <v>261</v>
      </c>
      <c r="AP34" s="37" t="s">
        <v>276</v>
      </c>
      <c r="AQ34" s="27" t="s">
        <v>284</v>
      </c>
      <c r="AS34" s="36">
        <f>AM34+AN34</f>
        <v>0</v>
      </c>
      <c r="AT34" s="36">
        <f>G34/(100-AU34)*100</f>
        <v>0</v>
      </c>
      <c r="AU34" s="36">
        <v>0</v>
      </c>
      <c r="AV34" s="36">
        <f>L34</f>
        <v>0.00028000000000000003</v>
      </c>
    </row>
    <row r="35" spans="1:48" ht="12.75">
      <c r="A35" s="5" t="s">
        <v>20</v>
      </c>
      <c r="B35" s="5" t="s">
        <v>73</v>
      </c>
      <c r="C35" s="5" t="s">
        <v>95</v>
      </c>
      <c r="D35" s="5" t="s">
        <v>168</v>
      </c>
      <c r="E35" s="5" t="s">
        <v>227</v>
      </c>
      <c r="F35" s="18">
        <v>6</v>
      </c>
      <c r="G35" s="18">
        <v>0</v>
      </c>
      <c r="H35" s="18">
        <f>F35*AE35</f>
        <v>0</v>
      </c>
      <c r="I35" s="18">
        <f>J35-H35</f>
        <v>0</v>
      </c>
      <c r="J35" s="18">
        <f>F35*G35</f>
        <v>0</v>
      </c>
      <c r="K35" s="18">
        <v>4E-05</v>
      </c>
      <c r="L35" s="18">
        <f>F35*K35</f>
        <v>0.00024000000000000003</v>
      </c>
      <c r="M35" s="31" t="s">
        <v>250</v>
      </c>
      <c r="P35" s="36">
        <f>IF(AG35="5",J35,0)</f>
        <v>0</v>
      </c>
      <c r="R35" s="36">
        <f>IF(AG35="1",H35,0)</f>
        <v>0</v>
      </c>
      <c r="S35" s="36">
        <f>IF(AG35="1",I35,0)</f>
        <v>0</v>
      </c>
      <c r="T35" s="36">
        <f>IF(AG35="7",H35,0)</f>
        <v>0</v>
      </c>
      <c r="U35" s="36">
        <f>IF(AG35="7",I35,0)</f>
        <v>0</v>
      </c>
      <c r="V35" s="36">
        <f>IF(AG35="2",H35,0)</f>
        <v>0</v>
      </c>
      <c r="W35" s="36">
        <f>IF(AG35="2",I35,0)</f>
        <v>0</v>
      </c>
      <c r="X35" s="36">
        <f>IF(AG35="0",J35,0)</f>
        <v>0</v>
      </c>
      <c r="Y35" s="27" t="s">
        <v>73</v>
      </c>
      <c r="Z35" s="18">
        <f>IF(AD35=0,J35,0)</f>
        <v>0</v>
      </c>
      <c r="AA35" s="18">
        <f>IF(AD35=15,J35,0)</f>
        <v>0</v>
      </c>
      <c r="AB35" s="18">
        <f>IF(AD35=21,J35,0)</f>
        <v>0</v>
      </c>
      <c r="AD35" s="36">
        <v>21</v>
      </c>
      <c r="AE35" s="36">
        <f>G35*0.364228723404255</f>
        <v>0</v>
      </c>
      <c r="AF35" s="36">
        <f>G35*(1-0.364228723404255)</f>
        <v>0</v>
      </c>
      <c r="AG35" s="31" t="s">
        <v>13</v>
      </c>
      <c r="AM35" s="36">
        <f>F35*AE35</f>
        <v>0</v>
      </c>
      <c r="AN35" s="36">
        <f>F35*AF35</f>
        <v>0</v>
      </c>
      <c r="AO35" s="37" t="s">
        <v>261</v>
      </c>
      <c r="AP35" s="37" t="s">
        <v>276</v>
      </c>
      <c r="AQ35" s="27" t="s">
        <v>284</v>
      </c>
      <c r="AS35" s="36">
        <f>AM35+AN35</f>
        <v>0</v>
      </c>
      <c r="AT35" s="36">
        <f>G35/(100-AU35)*100</f>
        <v>0</v>
      </c>
      <c r="AU35" s="36">
        <v>0</v>
      </c>
      <c r="AV35" s="36">
        <f>L35</f>
        <v>0.00024000000000000003</v>
      </c>
    </row>
    <row r="36" spans="1:37" ht="12.75">
      <c r="A36" s="4"/>
      <c r="B36" s="14" t="s">
        <v>73</v>
      </c>
      <c r="C36" s="14" t="s">
        <v>82</v>
      </c>
      <c r="D36" s="14" t="s">
        <v>153</v>
      </c>
      <c r="E36" s="4" t="s">
        <v>6</v>
      </c>
      <c r="F36" s="4" t="s">
        <v>6</v>
      </c>
      <c r="G36" s="4" t="s">
        <v>6</v>
      </c>
      <c r="H36" s="39">
        <f>SUM(H37:H44)</f>
        <v>0</v>
      </c>
      <c r="I36" s="39">
        <f>SUM(I37:I44)</f>
        <v>0</v>
      </c>
      <c r="J36" s="39">
        <f>H36+I36</f>
        <v>0</v>
      </c>
      <c r="K36" s="27"/>
      <c r="L36" s="39">
        <f>SUM(L37:L44)</f>
        <v>0.07585</v>
      </c>
      <c r="M36" s="27"/>
      <c r="Y36" s="27" t="s">
        <v>73</v>
      </c>
      <c r="AI36" s="39">
        <f>SUM(Z37:Z44)</f>
        <v>0</v>
      </c>
      <c r="AJ36" s="39">
        <f>SUM(AA37:AA44)</f>
        <v>0</v>
      </c>
      <c r="AK36" s="39">
        <f>SUM(AB37:AB44)</f>
        <v>0</v>
      </c>
    </row>
    <row r="37" spans="1:48" ht="12.75">
      <c r="A37" s="5" t="s">
        <v>21</v>
      </c>
      <c r="B37" s="5" t="s">
        <v>73</v>
      </c>
      <c r="C37" s="5" t="s">
        <v>96</v>
      </c>
      <c r="D37" s="5" t="s">
        <v>169</v>
      </c>
      <c r="E37" s="5" t="s">
        <v>227</v>
      </c>
      <c r="F37" s="18">
        <v>2</v>
      </c>
      <c r="G37" s="18">
        <v>0</v>
      </c>
      <c r="H37" s="18">
        <f aca="true" t="shared" si="0" ref="H37:H44">F37*AE37</f>
        <v>0</v>
      </c>
      <c r="I37" s="18">
        <f aca="true" t="shared" si="1" ref="I37:I44">J37-H37</f>
        <v>0</v>
      </c>
      <c r="J37" s="18">
        <f aca="true" t="shared" si="2" ref="J37:J44">F37*G37</f>
        <v>0</v>
      </c>
      <c r="K37" s="18">
        <v>0.00579</v>
      </c>
      <c r="L37" s="18">
        <f aca="true" t="shared" si="3" ref="L37:L44">F37*K37</f>
        <v>0.01158</v>
      </c>
      <c r="M37" s="31" t="s">
        <v>250</v>
      </c>
      <c r="P37" s="36">
        <f aca="true" t="shared" si="4" ref="P37:P44">IF(AG37="5",J37,0)</f>
        <v>0</v>
      </c>
      <c r="R37" s="36">
        <f aca="true" t="shared" si="5" ref="R37:R44">IF(AG37="1",H37,0)</f>
        <v>0</v>
      </c>
      <c r="S37" s="36">
        <f aca="true" t="shared" si="6" ref="S37:S44">IF(AG37="1",I37,0)</f>
        <v>0</v>
      </c>
      <c r="T37" s="36">
        <f aca="true" t="shared" si="7" ref="T37:T44">IF(AG37="7",H37,0)</f>
        <v>0</v>
      </c>
      <c r="U37" s="36">
        <f aca="true" t="shared" si="8" ref="U37:U44">IF(AG37="7",I37,0)</f>
        <v>0</v>
      </c>
      <c r="V37" s="36">
        <f aca="true" t="shared" si="9" ref="V37:V44">IF(AG37="2",H37,0)</f>
        <v>0</v>
      </c>
      <c r="W37" s="36">
        <f aca="true" t="shared" si="10" ref="W37:W44">IF(AG37="2",I37,0)</f>
        <v>0</v>
      </c>
      <c r="X37" s="36">
        <f aca="true" t="shared" si="11" ref="X37:X44">IF(AG37="0",J37,0)</f>
        <v>0</v>
      </c>
      <c r="Y37" s="27" t="s">
        <v>73</v>
      </c>
      <c r="Z37" s="18">
        <f aca="true" t="shared" si="12" ref="Z37:Z44">IF(AD37=0,J37,0)</f>
        <v>0</v>
      </c>
      <c r="AA37" s="18">
        <f aca="true" t="shared" si="13" ref="AA37:AA44">IF(AD37=15,J37,0)</f>
        <v>0</v>
      </c>
      <c r="AB37" s="18">
        <f aca="true" t="shared" si="14" ref="AB37:AB44">IF(AD37=21,J37,0)</f>
        <v>0</v>
      </c>
      <c r="AD37" s="36">
        <v>21</v>
      </c>
      <c r="AE37" s="36">
        <f>G37*0.373394777265745</f>
        <v>0</v>
      </c>
      <c r="AF37" s="36">
        <f>G37*(1-0.373394777265745)</f>
        <v>0</v>
      </c>
      <c r="AG37" s="31" t="s">
        <v>13</v>
      </c>
      <c r="AM37" s="36">
        <f aca="true" t="shared" si="15" ref="AM37:AM44">F37*AE37</f>
        <v>0</v>
      </c>
      <c r="AN37" s="36">
        <f aca="true" t="shared" si="16" ref="AN37:AN44">F37*AF37</f>
        <v>0</v>
      </c>
      <c r="AO37" s="37" t="s">
        <v>263</v>
      </c>
      <c r="AP37" s="37" t="s">
        <v>277</v>
      </c>
      <c r="AQ37" s="27" t="s">
        <v>284</v>
      </c>
      <c r="AS37" s="36">
        <f aca="true" t="shared" si="17" ref="AS37:AS44">AM37+AN37</f>
        <v>0</v>
      </c>
      <c r="AT37" s="36">
        <f aca="true" t="shared" si="18" ref="AT37:AT44">G37/(100-AU37)*100</f>
        <v>0</v>
      </c>
      <c r="AU37" s="36">
        <v>0</v>
      </c>
      <c r="AV37" s="36">
        <f aca="true" t="shared" si="19" ref="AV37:AV44">L37</f>
        <v>0.01158</v>
      </c>
    </row>
    <row r="38" spans="1:48" ht="12.75">
      <c r="A38" s="5" t="s">
        <v>22</v>
      </c>
      <c r="B38" s="5" t="s">
        <v>73</v>
      </c>
      <c r="C38" s="5" t="s">
        <v>97</v>
      </c>
      <c r="D38" s="5" t="s">
        <v>170</v>
      </c>
      <c r="E38" s="5" t="s">
        <v>227</v>
      </c>
      <c r="F38" s="18">
        <v>1</v>
      </c>
      <c r="G38" s="18">
        <v>0</v>
      </c>
      <c r="H38" s="18">
        <f t="shared" si="0"/>
        <v>0</v>
      </c>
      <c r="I38" s="18">
        <f t="shared" si="1"/>
        <v>0</v>
      </c>
      <c r="J38" s="18">
        <f t="shared" si="2"/>
        <v>0</v>
      </c>
      <c r="K38" s="18">
        <v>0.00621</v>
      </c>
      <c r="L38" s="18">
        <f t="shared" si="3"/>
        <v>0.00621</v>
      </c>
      <c r="M38" s="31" t="s">
        <v>250</v>
      </c>
      <c r="P38" s="36">
        <f t="shared" si="4"/>
        <v>0</v>
      </c>
      <c r="R38" s="36">
        <f t="shared" si="5"/>
        <v>0</v>
      </c>
      <c r="S38" s="36">
        <f t="shared" si="6"/>
        <v>0</v>
      </c>
      <c r="T38" s="36">
        <f t="shared" si="7"/>
        <v>0</v>
      </c>
      <c r="U38" s="36">
        <f t="shared" si="8"/>
        <v>0</v>
      </c>
      <c r="V38" s="36">
        <f t="shared" si="9"/>
        <v>0</v>
      </c>
      <c r="W38" s="36">
        <f t="shared" si="10"/>
        <v>0</v>
      </c>
      <c r="X38" s="36">
        <f t="shared" si="11"/>
        <v>0</v>
      </c>
      <c r="Y38" s="27" t="s">
        <v>73</v>
      </c>
      <c r="Z38" s="18">
        <f t="shared" si="12"/>
        <v>0</v>
      </c>
      <c r="AA38" s="18">
        <f t="shared" si="13"/>
        <v>0</v>
      </c>
      <c r="AB38" s="18">
        <f t="shared" si="14"/>
        <v>0</v>
      </c>
      <c r="AD38" s="36">
        <v>21</v>
      </c>
      <c r="AE38" s="36">
        <f>G38*0.39837689133425</f>
        <v>0</v>
      </c>
      <c r="AF38" s="36">
        <f>G38*(1-0.39837689133425)</f>
        <v>0</v>
      </c>
      <c r="AG38" s="31" t="s">
        <v>13</v>
      </c>
      <c r="AM38" s="36">
        <f t="shared" si="15"/>
        <v>0</v>
      </c>
      <c r="AN38" s="36">
        <f t="shared" si="16"/>
        <v>0</v>
      </c>
      <c r="AO38" s="37" t="s">
        <v>263</v>
      </c>
      <c r="AP38" s="37" t="s">
        <v>277</v>
      </c>
      <c r="AQ38" s="27" t="s">
        <v>284</v>
      </c>
      <c r="AS38" s="36">
        <f t="shared" si="17"/>
        <v>0</v>
      </c>
      <c r="AT38" s="36">
        <f t="shared" si="18"/>
        <v>0</v>
      </c>
      <c r="AU38" s="36">
        <v>0</v>
      </c>
      <c r="AV38" s="36">
        <f t="shared" si="19"/>
        <v>0.00621</v>
      </c>
    </row>
    <row r="39" spans="1:48" ht="12.75">
      <c r="A39" s="5" t="s">
        <v>23</v>
      </c>
      <c r="B39" s="5" t="s">
        <v>73</v>
      </c>
      <c r="C39" s="5" t="s">
        <v>98</v>
      </c>
      <c r="D39" s="5" t="s">
        <v>171</v>
      </c>
      <c r="E39" s="5" t="s">
        <v>227</v>
      </c>
      <c r="F39" s="18">
        <v>2</v>
      </c>
      <c r="G39" s="18">
        <v>0</v>
      </c>
      <c r="H39" s="18">
        <f t="shared" si="0"/>
        <v>0</v>
      </c>
      <c r="I39" s="18">
        <f t="shared" si="1"/>
        <v>0</v>
      </c>
      <c r="J39" s="18">
        <f t="shared" si="2"/>
        <v>0</v>
      </c>
      <c r="K39" s="18">
        <v>0.00706</v>
      </c>
      <c r="L39" s="18">
        <f t="shared" si="3"/>
        <v>0.01412</v>
      </c>
      <c r="M39" s="31" t="s">
        <v>250</v>
      </c>
      <c r="P39" s="36">
        <f t="shared" si="4"/>
        <v>0</v>
      </c>
      <c r="R39" s="36">
        <f t="shared" si="5"/>
        <v>0</v>
      </c>
      <c r="S39" s="36">
        <f t="shared" si="6"/>
        <v>0</v>
      </c>
      <c r="T39" s="36">
        <f t="shared" si="7"/>
        <v>0</v>
      </c>
      <c r="U39" s="36">
        <f t="shared" si="8"/>
        <v>0</v>
      </c>
      <c r="V39" s="36">
        <f t="shared" si="9"/>
        <v>0</v>
      </c>
      <c r="W39" s="36">
        <f t="shared" si="10"/>
        <v>0</v>
      </c>
      <c r="X39" s="36">
        <f t="shared" si="11"/>
        <v>0</v>
      </c>
      <c r="Y39" s="27" t="s">
        <v>73</v>
      </c>
      <c r="Z39" s="18">
        <f t="shared" si="12"/>
        <v>0</v>
      </c>
      <c r="AA39" s="18">
        <f t="shared" si="13"/>
        <v>0</v>
      </c>
      <c r="AB39" s="18">
        <f t="shared" si="14"/>
        <v>0</v>
      </c>
      <c r="AD39" s="36">
        <v>21</v>
      </c>
      <c r="AE39" s="36">
        <f>G39*0.433126436781609</f>
        <v>0</v>
      </c>
      <c r="AF39" s="36">
        <f>G39*(1-0.433126436781609)</f>
        <v>0</v>
      </c>
      <c r="AG39" s="31" t="s">
        <v>13</v>
      </c>
      <c r="AM39" s="36">
        <f t="shared" si="15"/>
        <v>0</v>
      </c>
      <c r="AN39" s="36">
        <f t="shared" si="16"/>
        <v>0</v>
      </c>
      <c r="AO39" s="37" t="s">
        <v>263</v>
      </c>
      <c r="AP39" s="37" t="s">
        <v>277</v>
      </c>
      <c r="AQ39" s="27" t="s">
        <v>284</v>
      </c>
      <c r="AS39" s="36">
        <f t="shared" si="17"/>
        <v>0</v>
      </c>
      <c r="AT39" s="36">
        <f t="shared" si="18"/>
        <v>0</v>
      </c>
      <c r="AU39" s="36">
        <v>0</v>
      </c>
      <c r="AV39" s="36">
        <f t="shared" si="19"/>
        <v>0.01412</v>
      </c>
    </row>
    <row r="40" spans="1:48" ht="12.75">
      <c r="A40" s="5" t="s">
        <v>24</v>
      </c>
      <c r="B40" s="5" t="s">
        <v>73</v>
      </c>
      <c r="C40" s="5" t="s">
        <v>99</v>
      </c>
      <c r="D40" s="5" t="s">
        <v>172</v>
      </c>
      <c r="E40" s="5" t="s">
        <v>227</v>
      </c>
      <c r="F40" s="18">
        <v>4</v>
      </c>
      <c r="G40" s="18">
        <v>0</v>
      </c>
      <c r="H40" s="18">
        <f t="shared" si="0"/>
        <v>0</v>
      </c>
      <c r="I40" s="18">
        <f t="shared" si="1"/>
        <v>0</v>
      </c>
      <c r="J40" s="18">
        <f t="shared" si="2"/>
        <v>0</v>
      </c>
      <c r="K40" s="18">
        <v>0.00787</v>
      </c>
      <c r="L40" s="18">
        <f t="shared" si="3"/>
        <v>0.03148</v>
      </c>
      <c r="M40" s="31" t="s">
        <v>250</v>
      </c>
      <c r="P40" s="36">
        <f t="shared" si="4"/>
        <v>0</v>
      </c>
      <c r="R40" s="36">
        <f t="shared" si="5"/>
        <v>0</v>
      </c>
      <c r="S40" s="36">
        <f t="shared" si="6"/>
        <v>0</v>
      </c>
      <c r="T40" s="36">
        <f t="shared" si="7"/>
        <v>0</v>
      </c>
      <c r="U40" s="36">
        <f t="shared" si="8"/>
        <v>0</v>
      </c>
      <c r="V40" s="36">
        <f t="shared" si="9"/>
        <v>0</v>
      </c>
      <c r="W40" s="36">
        <f t="shared" si="10"/>
        <v>0</v>
      </c>
      <c r="X40" s="36">
        <f t="shared" si="11"/>
        <v>0</v>
      </c>
      <c r="Y40" s="27" t="s">
        <v>73</v>
      </c>
      <c r="Z40" s="18">
        <f t="shared" si="12"/>
        <v>0</v>
      </c>
      <c r="AA40" s="18">
        <f t="shared" si="13"/>
        <v>0</v>
      </c>
      <c r="AB40" s="18">
        <f t="shared" si="14"/>
        <v>0</v>
      </c>
      <c r="AD40" s="36">
        <v>21</v>
      </c>
      <c r="AE40" s="36">
        <f>G40*0.452588652482269</f>
        <v>0</v>
      </c>
      <c r="AF40" s="36">
        <f>G40*(1-0.452588652482269)</f>
        <v>0</v>
      </c>
      <c r="AG40" s="31" t="s">
        <v>13</v>
      </c>
      <c r="AM40" s="36">
        <f t="shared" si="15"/>
        <v>0</v>
      </c>
      <c r="AN40" s="36">
        <f t="shared" si="16"/>
        <v>0</v>
      </c>
      <c r="AO40" s="37" t="s">
        <v>263</v>
      </c>
      <c r="AP40" s="37" t="s">
        <v>277</v>
      </c>
      <c r="AQ40" s="27" t="s">
        <v>284</v>
      </c>
      <c r="AS40" s="36">
        <f t="shared" si="17"/>
        <v>0</v>
      </c>
      <c r="AT40" s="36">
        <f t="shared" si="18"/>
        <v>0</v>
      </c>
      <c r="AU40" s="36">
        <v>0</v>
      </c>
      <c r="AV40" s="36">
        <f t="shared" si="19"/>
        <v>0.03148</v>
      </c>
    </row>
    <row r="41" spans="1:48" ht="12.75">
      <c r="A41" s="5" t="s">
        <v>25</v>
      </c>
      <c r="B41" s="5" t="s">
        <v>73</v>
      </c>
      <c r="C41" s="5" t="s">
        <v>100</v>
      </c>
      <c r="D41" s="5" t="s">
        <v>173</v>
      </c>
      <c r="E41" s="5" t="s">
        <v>227</v>
      </c>
      <c r="F41" s="18">
        <v>14</v>
      </c>
      <c r="G41" s="18">
        <v>0</v>
      </c>
      <c r="H41" s="18">
        <f t="shared" si="0"/>
        <v>0</v>
      </c>
      <c r="I41" s="18">
        <f t="shared" si="1"/>
        <v>0</v>
      </c>
      <c r="J41" s="18">
        <f t="shared" si="2"/>
        <v>0</v>
      </c>
      <c r="K41" s="18">
        <v>0.00076</v>
      </c>
      <c r="L41" s="18">
        <f t="shared" si="3"/>
        <v>0.01064</v>
      </c>
      <c r="M41" s="31" t="s">
        <v>250</v>
      </c>
      <c r="P41" s="36">
        <f t="shared" si="4"/>
        <v>0</v>
      </c>
      <c r="R41" s="36">
        <f t="shared" si="5"/>
        <v>0</v>
      </c>
      <c r="S41" s="36">
        <f t="shared" si="6"/>
        <v>0</v>
      </c>
      <c r="T41" s="36">
        <f t="shared" si="7"/>
        <v>0</v>
      </c>
      <c r="U41" s="36">
        <f t="shared" si="8"/>
        <v>0</v>
      </c>
      <c r="V41" s="36">
        <f t="shared" si="9"/>
        <v>0</v>
      </c>
      <c r="W41" s="36">
        <f t="shared" si="10"/>
        <v>0</v>
      </c>
      <c r="X41" s="36">
        <f t="shared" si="11"/>
        <v>0</v>
      </c>
      <c r="Y41" s="27" t="s">
        <v>73</v>
      </c>
      <c r="Z41" s="18">
        <f t="shared" si="12"/>
        <v>0</v>
      </c>
      <c r="AA41" s="18">
        <f t="shared" si="13"/>
        <v>0</v>
      </c>
      <c r="AB41" s="18">
        <f t="shared" si="14"/>
        <v>0</v>
      </c>
      <c r="AD41" s="36">
        <v>21</v>
      </c>
      <c r="AE41" s="36">
        <f>G41*0.544680134680135</f>
        <v>0</v>
      </c>
      <c r="AF41" s="36">
        <f>G41*(1-0.544680134680135)</f>
        <v>0</v>
      </c>
      <c r="AG41" s="31" t="s">
        <v>13</v>
      </c>
      <c r="AM41" s="36">
        <f t="shared" si="15"/>
        <v>0</v>
      </c>
      <c r="AN41" s="36">
        <f t="shared" si="16"/>
        <v>0</v>
      </c>
      <c r="AO41" s="37" t="s">
        <v>263</v>
      </c>
      <c r="AP41" s="37" t="s">
        <v>277</v>
      </c>
      <c r="AQ41" s="27" t="s">
        <v>284</v>
      </c>
      <c r="AS41" s="36">
        <f t="shared" si="17"/>
        <v>0</v>
      </c>
      <c r="AT41" s="36">
        <f t="shared" si="18"/>
        <v>0</v>
      </c>
      <c r="AU41" s="36">
        <v>0</v>
      </c>
      <c r="AV41" s="36">
        <f t="shared" si="19"/>
        <v>0.01064</v>
      </c>
    </row>
    <row r="42" spans="1:48" ht="12.75">
      <c r="A42" s="5" t="s">
        <v>26</v>
      </c>
      <c r="B42" s="5" t="s">
        <v>73</v>
      </c>
      <c r="C42" s="5" t="s">
        <v>101</v>
      </c>
      <c r="D42" s="5" t="s">
        <v>174</v>
      </c>
      <c r="E42" s="5" t="s">
        <v>229</v>
      </c>
      <c r="F42" s="18">
        <v>2</v>
      </c>
      <c r="G42" s="18">
        <v>0</v>
      </c>
      <c r="H42" s="18">
        <f t="shared" si="0"/>
        <v>0</v>
      </c>
      <c r="I42" s="18">
        <f t="shared" si="1"/>
        <v>0</v>
      </c>
      <c r="J42" s="18">
        <f t="shared" si="2"/>
        <v>0</v>
      </c>
      <c r="K42" s="18">
        <v>0.00054</v>
      </c>
      <c r="L42" s="18">
        <f t="shared" si="3"/>
        <v>0.00108</v>
      </c>
      <c r="M42" s="31" t="s">
        <v>250</v>
      </c>
      <c r="P42" s="36">
        <f t="shared" si="4"/>
        <v>0</v>
      </c>
      <c r="R42" s="36">
        <f t="shared" si="5"/>
        <v>0</v>
      </c>
      <c r="S42" s="36">
        <f t="shared" si="6"/>
        <v>0</v>
      </c>
      <c r="T42" s="36">
        <f t="shared" si="7"/>
        <v>0</v>
      </c>
      <c r="U42" s="36">
        <f t="shared" si="8"/>
        <v>0</v>
      </c>
      <c r="V42" s="36">
        <f t="shared" si="9"/>
        <v>0</v>
      </c>
      <c r="W42" s="36">
        <f t="shared" si="10"/>
        <v>0</v>
      </c>
      <c r="X42" s="36">
        <f t="shared" si="11"/>
        <v>0</v>
      </c>
      <c r="Y42" s="27" t="s">
        <v>73</v>
      </c>
      <c r="Z42" s="18">
        <f t="shared" si="12"/>
        <v>0</v>
      </c>
      <c r="AA42" s="18">
        <f t="shared" si="13"/>
        <v>0</v>
      </c>
      <c r="AB42" s="18">
        <f t="shared" si="14"/>
        <v>0</v>
      </c>
      <c r="AD42" s="36">
        <v>21</v>
      </c>
      <c r="AE42" s="36">
        <f>G42*0.490353982300885</f>
        <v>0</v>
      </c>
      <c r="AF42" s="36">
        <f>G42*(1-0.490353982300885)</f>
        <v>0</v>
      </c>
      <c r="AG42" s="31" t="s">
        <v>13</v>
      </c>
      <c r="AM42" s="36">
        <f t="shared" si="15"/>
        <v>0</v>
      </c>
      <c r="AN42" s="36">
        <f t="shared" si="16"/>
        <v>0</v>
      </c>
      <c r="AO42" s="37" t="s">
        <v>263</v>
      </c>
      <c r="AP42" s="37" t="s">
        <v>277</v>
      </c>
      <c r="AQ42" s="27" t="s">
        <v>284</v>
      </c>
      <c r="AS42" s="36">
        <f t="shared" si="17"/>
        <v>0</v>
      </c>
      <c r="AT42" s="36">
        <f t="shared" si="18"/>
        <v>0</v>
      </c>
      <c r="AU42" s="36">
        <v>0</v>
      </c>
      <c r="AV42" s="36">
        <f t="shared" si="19"/>
        <v>0.00108</v>
      </c>
    </row>
    <row r="43" spans="1:48" ht="12.75">
      <c r="A43" s="5" t="s">
        <v>27</v>
      </c>
      <c r="B43" s="5" t="s">
        <v>73</v>
      </c>
      <c r="C43" s="5" t="s">
        <v>102</v>
      </c>
      <c r="D43" s="5" t="s">
        <v>175</v>
      </c>
      <c r="E43" s="5" t="s">
        <v>229</v>
      </c>
      <c r="F43" s="18">
        <v>2</v>
      </c>
      <c r="G43" s="18">
        <v>0</v>
      </c>
      <c r="H43" s="18">
        <f t="shared" si="0"/>
        <v>0</v>
      </c>
      <c r="I43" s="18">
        <f t="shared" si="1"/>
        <v>0</v>
      </c>
      <c r="J43" s="18">
        <f t="shared" si="2"/>
        <v>0</v>
      </c>
      <c r="K43" s="18">
        <v>7E-05</v>
      </c>
      <c r="L43" s="18">
        <f t="shared" si="3"/>
        <v>0.00014</v>
      </c>
      <c r="M43" s="31" t="s">
        <v>250</v>
      </c>
      <c r="P43" s="36">
        <f t="shared" si="4"/>
        <v>0</v>
      </c>
      <c r="R43" s="36">
        <f t="shared" si="5"/>
        <v>0</v>
      </c>
      <c r="S43" s="36">
        <f t="shared" si="6"/>
        <v>0</v>
      </c>
      <c r="T43" s="36">
        <f t="shared" si="7"/>
        <v>0</v>
      </c>
      <c r="U43" s="36">
        <f t="shared" si="8"/>
        <v>0</v>
      </c>
      <c r="V43" s="36">
        <f t="shared" si="9"/>
        <v>0</v>
      </c>
      <c r="W43" s="36">
        <f t="shared" si="10"/>
        <v>0</v>
      </c>
      <c r="X43" s="36">
        <f t="shared" si="11"/>
        <v>0</v>
      </c>
      <c r="Y43" s="27" t="s">
        <v>73</v>
      </c>
      <c r="Z43" s="18">
        <f t="shared" si="12"/>
        <v>0</v>
      </c>
      <c r="AA43" s="18">
        <f t="shared" si="13"/>
        <v>0</v>
      </c>
      <c r="AB43" s="18">
        <f t="shared" si="14"/>
        <v>0</v>
      </c>
      <c r="AD43" s="36">
        <v>21</v>
      </c>
      <c r="AE43" s="36">
        <f>G43*0.231071428571429</f>
        <v>0</v>
      </c>
      <c r="AF43" s="36">
        <f>G43*(1-0.231071428571429)</f>
        <v>0</v>
      </c>
      <c r="AG43" s="31" t="s">
        <v>13</v>
      </c>
      <c r="AM43" s="36">
        <f t="shared" si="15"/>
        <v>0</v>
      </c>
      <c r="AN43" s="36">
        <f t="shared" si="16"/>
        <v>0</v>
      </c>
      <c r="AO43" s="37" t="s">
        <v>263</v>
      </c>
      <c r="AP43" s="37" t="s">
        <v>277</v>
      </c>
      <c r="AQ43" s="27" t="s">
        <v>284</v>
      </c>
      <c r="AS43" s="36">
        <f t="shared" si="17"/>
        <v>0</v>
      </c>
      <c r="AT43" s="36">
        <f t="shared" si="18"/>
        <v>0</v>
      </c>
      <c r="AU43" s="36">
        <v>0</v>
      </c>
      <c r="AV43" s="36">
        <f t="shared" si="19"/>
        <v>0.00014</v>
      </c>
    </row>
    <row r="44" spans="1:48" ht="12.75">
      <c r="A44" s="5" t="s">
        <v>28</v>
      </c>
      <c r="B44" s="5" t="s">
        <v>73</v>
      </c>
      <c r="C44" s="5" t="s">
        <v>103</v>
      </c>
      <c r="D44" s="5" t="s">
        <v>176</v>
      </c>
      <c r="E44" s="5" t="s">
        <v>229</v>
      </c>
      <c r="F44" s="18">
        <v>2</v>
      </c>
      <c r="G44" s="18">
        <v>0</v>
      </c>
      <c r="H44" s="18">
        <f t="shared" si="0"/>
        <v>0</v>
      </c>
      <c r="I44" s="18">
        <f t="shared" si="1"/>
        <v>0</v>
      </c>
      <c r="J44" s="18">
        <f t="shared" si="2"/>
        <v>0</v>
      </c>
      <c r="K44" s="18">
        <v>0.0003</v>
      </c>
      <c r="L44" s="18">
        <f t="shared" si="3"/>
        <v>0.0006</v>
      </c>
      <c r="M44" s="31" t="s">
        <v>250</v>
      </c>
      <c r="P44" s="36">
        <f t="shared" si="4"/>
        <v>0</v>
      </c>
      <c r="R44" s="36">
        <f t="shared" si="5"/>
        <v>0</v>
      </c>
      <c r="S44" s="36">
        <f t="shared" si="6"/>
        <v>0</v>
      </c>
      <c r="T44" s="36">
        <f t="shared" si="7"/>
        <v>0</v>
      </c>
      <c r="U44" s="36">
        <f t="shared" si="8"/>
        <v>0</v>
      </c>
      <c r="V44" s="36">
        <f t="shared" si="9"/>
        <v>0</v>
      </c>
      <c r="W44" s="36">
        <f t="shared" si="10"/>
        <v>0</v>
      </c>
      <c r="X44" s="36">
        <f t="shared" si="11"/>
        <v>0</v>
      </c>
      <c r="Y44" s="27" t="s">
        <v>73</v>
      </c>
      <c r="Z44" s="18">
        <f t="shared" si="12"/>
        <v>0</v>
      </c>
      <c r="AA44" s="18">
        <f t="shared" si="13"/>
        <v>0</v>
      </c>
      <c r="AB44" s="18">
        <f t="shared" si="14"/>
        <v>0</v>
      </c>
      <c r="AD44" s="36">
        <v>21</v>
      </c>
      <c r="AE44" s="36">
        <f>G44*0.52343347639485</f>
        <v>0</v>
      </c>
      <c r="AF44" s="36">
        <f>G44*(1-0.52343347639485)</f>
        <v>0</v>
      </c>
      <c r="AG44" s="31" t="s">
        <v>13</v>
      </c>
      <c r="AM44" s="36">
        <f t="shared" si="15"/>
        <v>0</v>
      </c>
      <c r="AN44" s="36">
        <f t="shared" si="16"/>
        <v>0</v>
      </c>
      <c r="AO44" s="37" t="s">
        <v>263</v>
      </c>
      <c r="AP44" s="37" t="s">
        <v>277</v>
      </c>
      <c r="AQ44" s="27" t="s">
        <v>284</v>
      </c>
      <c r="AS44" s="36">
        <f t="shared" si="17"/>
        <v>0</v>
      </c>
      <c r="AT44" s="36">
        <f t="shared" si="18"/>
        <v>0</v>
      </c>
      <c r="AU44" s="36">
        <v>0</v>
      </c>
      <c r="AV44" s="36">
        <f t="shared" si="19"/>
        <v>0.0006</v>
      </c>
    </row>
    <row r="45" spans="1:37" ht="12.75">
      <c r="A45" s="4"/>
      <c r="B45" s="14" t="s">
        <v>73</v>
      </c>
      <c r="C45" s="14" t="s">
        <v>84</v>
      </c>
      <c r="D45" s="14" t="s">
        <v>155</v>
      </c>
      <c r="E45" s="4" t="s">
        <v>6</v>
      </c>
      <c r="F45" s="4" t="s">
        <v>6</v>
      </c>
      <c r="G45" s="4" t="s">
        <v>6</v>
      </c>
      <c r="H45" s="39">
        <f>SUM(H46:H63)</f>
        <v>0</v>
      </c>
      <c r="I45" s="39">
        <f>SUM(I46:I63)</f>
        <v>0</v>
      </c>
      <c r="J45" s="39">
        <f>H45+I45</f>
        <v>0</v>
      </c>
      <c r="K45" s="27"/>
      <c r="L45" s="39">
        <f>SUM(L46:L63)</f>
        <v>0.10475000000000002</v>
      </c>
      <c r="M45" s="27"/>
      <c r="Y45" s="27" t="s">
        <v>73</v>
      </c>
      <c r="AI45" s="39">
        <f>SUM(Z46:Z63)</f>
        <v>0</v>
      </c>
      <c r="AJ45" s="39">
        <f>SUM(AA46:AA63)</f>
        <v>0</v>
      </c>
      <c r="AK45" s="39">
        <f>SUM(AB46:AB63)</f>
        <v>0</v>
      </c>
    </row>
    <row r="46" spans="1:48" ht="12.75">
      <c r="A46" s="5" t="s">
        <v>29</v>
      </c>
      <c r="B46" s="5" t="s">
        <v>73</v>
      </c>
      <c r="C46" s="5" t="s">
        <v>104</v>
      </c>
      <c r="D46" s="5" t="s">
        <v>177</v>
      </c>
      <c r="E46" s="5" t="s">
        <v>229</v>
      </c>
      <c r="F46" s="18">
        <v>57</v>
      </c>
      <c r="G46" s="18">
        <v>0</v>
      </c>
      <c r="H46" s="18">
        <f aca="true" t="shared" si="20" ref="H46:H63">F46*AE46</f>
        <v>0</v>
      </c>
      <c r="I46" s="18">
        <f aca="true" t="shared" si="21" ref="I46:I63">J46-H46</f>
        <v>0</v>
      </c>
      <c r="J46" s="18">
        <f aca="true" t="shared" si="22" ref="J46:J63">F46*G46</f>
        <v>0</v>
      </c>
      <c r="K46" s="18">
        <v>0.00054</v>
      </c>
      <c r="L46" s="18">
        <f aca="true" t="shared" si="23" ref="L46:L63">F46*K46</f>
        <v>0.030780000000000002</v>
      </c>
      <c r="M46" s="31" t="s">
        <v>250</v>
      </c>
      <c r="P46" s="36">
        <f aca="true" t="shared" si="24" ref="P46:P63">IF(AG46="5",J46,0)</f>
        <v>0</v>
      </c>
      <c r="R46" s="36">
        <f aca="true" t="shared" si="25" ref="R46:R63">IF(AG46="1",H46,0)</f>
        <v>0</v>
      </c>
      <c r="S46" s="36">
        <f aca="true" t="shared" si="26" ref="S46:S63">IF(AG46="1",I46,0)</f>
        <v>0</v>
      </c>
      <c r="T46" s="36">
        <f aca="true" t="shared" si="27" ref="T46:T63">IF(AG46="7",H46,0)</f>
        <v>0</v>
      </c>
      <c r="U46" s="36">
        <f aca="true" t="shared" si="28" ref="U46:U63">IF(AG46="7",I46,0)</f>
        <v>0</v>
      </c>
      <c r="V46" s="36">
        <f aca="true" t="shared" si="29" ref="V46:V63">IF(AG46="2",H46,0)</f>
        <v>0</v>
      </c>
      <c r="W46" s="36">
        <f aca="true" t="shared" si="30" ref="W46:W63">IF(AG46="2",I46,0)</f>
        <v>0</v>
      </c>
      <c r="X46" s="36">
        <f aca="true" t="shared" si="31" ref="X46:X63">IF(AG46="0",J46,0)</f>
        <v>0</v>
      </c>
      <c r="Y46" s="27" t="s">
        <v>73</v>
      </c>
      <c r="Z46" s="18">
        <f aca="true" t="shared" si="32" ref="Z46:Z63">IF(AD46=0,J46,0)</f>
        <v>0</v>
      </c>
      <c r="AA46" s="18">
        <f aca="true" t="shared" si="33" ref="AA46:AA63">IF(AD46=15,J46,0)</f>
        <v>0</v>
      </c>
      <c r="AB46" s="18">
        <f aca="true" t="shared" si="34" ref="AB46:AB63">IF(AD46=21,J46,0)</f>
        <v>0</v>
      </c>
      <c r="AD46" s="36">
        <v>21</v>
      </c>
      <c r="AE46" s="36">
        <f>G46*0.233997509339975</f>
        <v>0</v>
      </c>
      <c r="AF46" s="36">
        <f>G46*(1-0.233997509339975)</f>
        <v>0</v>
      </c>
      <c r="AG46" s="31" t="s">
        <v>13</v>
      </c>
      <c r="AM46" s="36">
        <f aca="true" t="shared" si="35" ref="AM46:AM63">F46*AE46</f>
        <v>0</v>
      </c>
      <c r="AN46" s="36">
        <f aca="true" t="shared" si="36" ref="AN46:AN63">F46*AF46</f>
        <v>0</v>
      </c>
      <c r="AO46" s="37" t="s">
        <v>264</v>
      </c>
      <c r="AP46" s="37" t="s">
        <v>277</v>
      </c>
      <c r="AQ46" s="27" t="s">
        <v>284</v>
      </c>
      <c r="AS46" s="36">
        <f aca="true" t="shared" si="37" ref="AS46:AS63">AM46+AN46</f>
        <v>0</v>
      </c>
      <c r="AT46" s="36">
        <f aca="true" t="shared" si="38" ref="AT46:AT63">G46/(100-AU46)*100</f>
        <v>0</v>
      </c>
      <c r="AU46" s="36">
        <v>0</v>
      </c>
      <c r="AV46" s="36">
        <f aca="true" t="shared" si="39" ref="AV46:AV63">L46</f>
        <v>0.030780000000000002</v>
      </c>
    </row>
    <row r="47" spans="1:48" ht="12.75">
      <c r="A47" s="5" t="s">
        <v>30</v>
      </c>
      <c r="B47" s="5" t="s">
        <v>73</v>
      </c>
      <c r="C47" s="5" t="s">
        <v>105</v>
      </c>
      <c r="D47" s="5" t="s">
        <v>178</v>
      </c>
      <c r="E47" s="5" t="s">
        <v>229</v>
      </c>
      <c r="F47" s="18">
        <v>6</v>
      </c>
      <c r="G47" s="18">
        <v>0</v>
      </c>
      <c r="H47" s="18">
        <f t="shared" si="20"/>
        <v>0</v>
      </c>
      <c r="I47" s="18">
        <f t="shared" si="21"/>
        <v>0</v>
      </c>
      <c r="J47" s="18">
        <f t="shared" si="22"/>
        <v>0</v>
      </c>
      <c r="K47" s="18">
        <v>0.00123</v>
      </c>
      <c r="L47" s="18">
        <f t="shared" si="23"/>
        <v>0.007379999999999999</v>
      </c>
      <c r="M47" s="31" t="s">
        <v>250</v>
      </c>
      <c r="P47" s="36">
        <f t="shared" si="24"/>
        <v>0</v>
      </c>
      <c r="R47" s="36">
        <f t="shared" si="25"/>
        <v>0</v>
      </c>
      <c r="S47" s="36">
        <f t="shared" si="26"/>
        <v>0</v>
      </c>
      <c r="T47" s="36">
        <f t="shared" si="27"/>
        <v>0</v>
      </c>
      <c r="U47" s="36">
        <f t="shared" si="28"/>
        <v>0</v>
      </c>
      <c r="V47" s="36">
        <f t="shared" si="29"/>
        <v>0</v>
      </c>
      <c r="W47" s="36">
        <f t="shared" si="30"/>
        <v>0</v>
      </c>
      <c r="X47" s="36">
        <f t="shared" si="31"/>
        <v>0</v>
      </c>
      <c r="Y47" s="27" t="s">
        <v>73</v>
      </c>
      <c r="Z47" s="18">
        <f t="shared" si="32"/>
        <v>0</v>
      </c>
      <c r="AA47" s="18">
        <f t="shared" si="33"/>
        <v>0</v>
      </c>
      <c r="AB47" s="18">
        <f t="shared" si="34"/>
        <v>0</v>
      </c>
      <c r="AD47" s="36">
        <v>21</v>
      </c>
      <c r="AE47" s="36">
        <f>G47*0.237456085037384</f>
        <v>0</v>
      </c>
      <c r="AF47" s="36">
        <f>G47*(1-0.237456085037384)</f>
        <v>0</v>
      </c>
      <c r="AG47" s="31" t="s">
        <v>13</v>
      </c>
      <c r="AM47" s="36">
        <f t="shared" si="35"/>
        <v>0</v>
      </c>
      <c r="AN47" s="36">
        <f t="shared" si="36"/>
        <v>0</v>
      </c>
      <c r="AO47" s="37" t="s">
        <v>264</v>
      </c>
      <c r="AP47" s="37" t="s">
        <v>277</v>
      </c>
      <c r="AQ47" s="27" t="s">
        <v>284</v>
      </c>
      <c r="AS47" s="36">
        <f t="shared" si="37"/>
        <v>0</v>
      </c>
      <c r="AT47" s="36">
        <f t="shared" si="38"/>
        <v>0</v>
      </c>
      <c r="AU47" s="36">
        <v>0</v>
      </c>
      <c r="AV47" s="36">
        <f t="shared" si="39"/>
        <v>0.007379999999999999</v>
      </c>
    </row>
    <row r="48" spans="1:48" ht="12.75">
      <c r="A48" s="5" t="s">
        <v>31</v>
      </c>
      <c r="B48" s="5" t="s">
        <v>73</v>
      </c>
      <c r="C48" s="5" t="s">
        <v>106</v>
      </c>
      <c r="D48" s="5" t="s">
        <v>179</v>
      </c>
      <c r="E48" s="5" t="s">
        <v>229</v>
      </c>
      <c r="F48" s="18">
        <v>8</v>
      </c>
      <c r="G48" s="18">
        <v>0</v>
      </c>
      <c r="H48" s="18">
        <f t="shared" si="20"/>
        <v>0</v>
      </c>
      <c r="I48" s="18">
        <f t="shared" si="21"/>
        <v>0</v>
      </c>
      <c r="J48" s="18">
        <f t="shared" si="22"/>
        <v>0</v>
      </c>
      <c r="K48" s="18">
        <v>0.00237</v>
      </c>
      <c r="L48" s="18">
        <f t="shared" si="23"/>
        <v>0.01896</v>
      </c>
      <c r="M48" s="31" t="s">
        <v>250</v>
      </c>
      <c r="P48" s="36">
        <f t="shared" si="24"/>
        <v>0</v>
      </c>
      <c r="R48" s="36">
        <f t="shared" si="25"/>
        <v>0</v>
      </c>
      <c r="S48" s="36">
        <f t="shared" si="26"/>
        <v>0</v>
      </c>
      <c r="T48" s="36">
        <f t="shared" si="27"/>
        <v>0</v>
      </c>
      <c r="U48" s="36">
        <f t="shared" si="28"/>
        <v>0</v>
      </c>
      <c r="V48" s="36">
        <f t="shared" si="29"/>
        <v>0</v>
      </c>
      <c r="W48" s="36">
        <f t="shared" si="30"/>
        <v>0</v>
      </c>
      <c r="X48" s="36">
        <f t="shared" si="31"/>
        <v>0</v>
      </c>
      <c r="Y48" s="27" t="s">
        <v>73</v>
      </c>
      <c r="Z48" s="18">
        <f t="shared" si="32"/>
        <v>0</v>
      </c>
      <c r="AA48" s="18">
        <f t="shared" si="33"/>
        <v>0</v>
      </c>
      <c r="AB48" s="18">
        <f t="shared" si="34"/>
        <v>0</v>
      </c>
      <c r="AD48" s="36">
        <v>21</v>
      </c>
      <c r="AE48" s="36">
        <f>G48*0.23317880794702</f>
        <v>0</v>
      </c>
      <c r="AF48" s="36">
        <f>G48*(1-0.23317880794702)</f>
        <v>0</v>
      </c>
      <c r="AG48" s="31" t="s">
        <v>13</v>
      </c>
      <c r="AM48" s="36">
        <f t="shared" si="35"/>
        <v>0</v>
      </c>
      <c r="AN48" s="36">
        <f t="shared" si="36"/>
        <v>0</v>
      </c>
      <c r="AO48" s="37" t="s">
        <v>264</v>
      </c>
      <c r="AP48" s="37" t="s">
        <v>277</v>
      </c>
      <c r="AQ48" s="27" t="s">
        <v>284</v>
      </c>
      <c r="AS48" s="36">
        <f t="shared" si="37"/>
        <v>0</v>
      </c>
      <c r="AT48" s="36">
        <f t="shared" si="38"/>
        <v>0</v>
      </c>
      <c r="AU48" s="36">
        <v>0</v>
      </c>
      <c r="AV48" s="36">
        <f t="shared" si="39"/>
        <v>0.01896</v>
      </c>
    </row>
    <row r="49" spans="1:48" ht="12.75">
      <c r="A49" s="5" t="s">
        <v>32</v>
      </c>
      <c r="B49" s="5" t="s">
        <v>73</v>
      </c>
      <c r="C49" s="5" t="s">
        <v>107</v>
      </c>
      <c r="D49" s="5" t="s">
        <v>180</v>
      </c>
      <c r="E49" s="5" t="s">
        <v>229</v>
      </c>
      <c r="F49" s="18">
        <v>14</v>
      </c>
      <c r="G49" s="18">
        <v>0</v>
      </c>
      <c r="H49" s="18">
        <f t="shared" si="20"/>
        <v>0</v>
      </c>
      <c r="I49" s="18">
        <f t="shared" si="21"/>
        <v>0</v>
      </c>
      <c r="J49" s="18">
        <f t="shared" si="22"/>
        <v>0</v>
      </c>
      <c r="K49" s="18">
        <v>0.00019</v>
      </c>
      <c r="L49" s="18">
        <f t="shared" si="23"/>
        <v>0.00266</v>
      </c>
      <c r="M49" s="31" t="s">
        <v>250</v>
      </c>
      <c r="P49" s="36">
        <f t="shared" si="24"/>
        <v>0</v>
      </c>
      <c r="R49" s="36">
        <f t="shared" si="25"/>
        <v>0</v>
      </c>
      <c r="S49" s="36">
        <f t="shared" si="26"/>
        <v>0</v>
      </c>
      <c r="T49" s="36">
        <f t="shared" si="27"/>
        <v>0</v>
      </c>
      <c r="U49" s="36">
        <f t="shared" si="28"/>
        <v>0</v>
      </c>
      <c r="V49" s="36">
        <f t="shared" si="29"/>
        <v>0</v>
      </c>
      <c r="W49" s="36">
        <f t="shared" si="30"/>
        <v>0</v>
      </c>
      <c r="X49" s="36">
        <f t="shared" si="31"/>
        <v>0</v>
      </c>
      <c r="Y49" s="27" t="s">
        <v>73</v>
      </c>
      <c r="Z49" s="18">
        <f t="shared" si="32"/>
        <v>0</v>
      </c>
      <c r="AA49" s="18">
        <f t="shared" si="33"/>
        <v>0</v>
      </c>
      <c r="AB49" s="18">
        <f t="shared" si="34"/>
        <v>0</v>
      </c>
      <c r="AD49" s="36">
        <v>21</v>
      </c>
      <c r="AE49" s="36">
        <f>G49*0.825873417721519</f>
        <v>0</v>
      </c>
      <c r="AF49" s="36">
        <f>G49*(1-0.825873417721519)</f>
        <v>0</v>
      </c>
      <c r="AG49" s="31" t="s">
        <v>13</v>
      </c>
      <c r="AM49" s="36">
        <f t="shared" si="35"/>
        <v>0</v>
      </c>
      <c r="AN49" s="36">
        <f t="shared" si="36"/>
        <v>0</v>
      </c>
      <c r="AO49" s="37" t="s">
        <v>264</v>
      </c>
      <c r="AP49" s="37" t="s">
        <v>277</v>
      </c>
      <c r="AQ49" s="27" t="s">
        <v>284</v>
      </c>
      <c r="AS49" s="36">
        <f t="shared" si="37"/>
        <v>0</v>
      </c>
      <c r="AT49" s="36">
        <f t="shared" si="38"/>
        <v>0</v>
      </c>
      <c r="AU49" s="36">
        <v>0</v>
      </c>
      <c r="AV49" s="36">
        <f t="shared" si="39"/>
        <v>0.00266</v>
      </c>
    </row>
    <row r="50" spans="1:48" ht="12.75">
      <c r="A50" s="5" t="s">
        <v>33</v>
      </c>
      <c r="B50" s="5" t="s">
        <v>73</v>
      </c>
      <c r="C50" s="5" t="s">
        <v>108</v>
      </c>
      <c r="D50" s="5" t="s">
        <v>181</v>
      </c>
      <c r="E50" s="5" t="s">
        <v>229</v>
      </c>
      <c r="F50" s="18">
        <v>2</v>
      </c>
      <c r="G50" s="18">
        <v>0</v>
      </c>
      <c r="H50" s="18">
        <f t="shared" si="20"/>
        <v>0</v>
      </c>
      <c r="I50" s="18">
        <f t="shared" si="21"/>
        <v>0</v>
      </c>
      <c r="J50" s="18">
        <f t="shared" si="22"/>
        <v>0</v>
      </c>
      <c r="K50" s="18">
        <v>0.00031</v>
      </c>
      <c r="L50" s="18">
        <f t="shared" si="23"/>
        <v>0.00062</v>
      </c>
      <c r="M50" s="31" t="s">
        <v>250</v>
      </c>
      <c r="P50" s="36">
        <f t="shared" si="24"/>
        <v>0</v>
      </c>
      <c r="R50" s="36">
        <f t="shared" si="25"/>
        <v>0</v>
      </c>
      <c r="S50" s="36">
        <f t="shared" si="26"/>
        <v>0</v>
      </c>
      <c r="T50" s="36">
        <f t="shared" si="27"/>
        <v>0</v>
      </c>
      <c r="U50" s="36">
        <f t="shared" si="28"/>
        <v>0</v>
      </c>
      <c r="V50" s="36">
        <f t="shared" si="29"/>
        <v>0</v>
      </c>
      <c r="W50" s="36">
        <f t="shared" si="30"/>
        <v>0</v>
      </c>
      <c r="X50" s="36">
        <f t="shared" si="31"/>
        <v>0</v>
      </c>
      <c r="Y50" s="27" t="s">
        <v>73</v>
      </c>
      <c r="Z50" s="18">
        <f t="shared" si="32"/>
        <v>0</v>
      </c>
      <c r="AA50" s="18">
        <f t="shared" si="33"/>
        <v>0</v>
      </c>
      <c r="AB50" s="18">
        <f t="shared" si="34"/>
        <v>0</v>
      </c>
      <c r="AD50" s="36">
        <v>21</v>
      </c>
      <c r="AE50" s="36">
        <f>G50*0.715049833887043</f>
        <v>0</v>
      </c>
      <c r="AF50" s="36">
        <f>G50*(1-0.715049833887043)</f>
        <v>0</v>
      </c>
      <c r="AG50" s="31" t="s">
        <v>13</v>
      </c>
      <c r="AM50" s="36">
        <f t="shared" si="35"/>
        <v>0</v>
      </c>
      <c r="AN50" s="36">
        <f t="shared" si="36"/>
        <v>0</v>
      </c>
      <c r="AO50" s="37" t="s">
        <v>264</v>
      </c>
      <c r="AP50" s="37" t="s">
        <v>277</v>
      </c>
      <c r="AQ50" s="27" t="s">
        <v>284</v>
      </c>
      <c r="AS50" s="36">
        <f t="shared" si="37"/>
        <v>0</v>
      </c>
      <c r="AT50" s="36">
        <f t="shared" si="38"/>
        <v>0</v>
      </c>
      <c r="AU50" s="36">
        <v>0</v>
      </c>
      <c r="AV50" s="36">
        <f t="shared" si="39"/>
        <v>0.00062</v>
      </c>
    </row>
    <row r="51" spans="1:48" ht="12.75">
      <c r="A51" s="5" t="s">
        <v>34</v>
      </c>
      <c r="B51" s="5" t="s">
        <v>73</v>
      </c>
      <c r="C51" s="5" t="s">
        <v>109</v>
      </c>
      <c r="D51" s="5" t="s">
        <v>182</v>
      </c>
      <c r="E51" s="5" t="s">
        <v>229</v>
      </c>
      <c r="F51" s="18">
        <v>4</v>
      </c>
      <c r="G51" s="18">
        <v>0</v>
      </c>
      <c r="H51" s="18">
        <f t="shared" si="20"/>
        <v>0</v>
      </c>
      <c r="I51" s="18">
        <f t="shared" si="21"/>
        <v>0</v>
      </c>
      <c r="J51" s="18">
        <f t="shared" si="22"/>
        <v>0</v>
      </c>
      <c r="K51" s="18">
        <v>0.00048</v>
      </c>
      <c r="L51" s="18">
        <f t="shared" si="23"/>
        <v>0.00192</v>
      </c>
      <c r="M51" s="31" t="s">
        <v>250</v>
      </c>
      <c r="P51" s="36">
        <f t="shared" si="24"/>
        <v>0</v>
      </c>
      <c r="R51" s="36">
        <f t="shared" si="25"/>
        <v>0</v>
      </c>
      <c r="S51" s="36">
        <f t="shared" si="26"/>
        <v>0</v>
      </c>
      <c r="T51" s="36">
        <f t="shared" si="27"/>
        <v>0</v>
      </c>
      <c r="U51" s="36">
        <f t="shared" si="28"/>
        <v>0</v>
      </c>
      <c r="V51" s="36">
        <f t="shared" si="29"/>
        <v>0</v>
      </c>
      <c r="W51" s="36">
        <f t="shared" si="30"/>
        <v>0</v>
      </c>
      <c r="X51" s="36">
        <f t="shared" si="31"/>
        <v>0</v>
      </c>
      <c r="Y51" s="27" t="s">
        <v>73</v>
      </c>
      <c r="Z51" s="18">
        <f t="shared" si="32"/>
        <v>0</v>
      </c>
      <c r="AA51" s="18">
        <f t="shared" si="33"/>
        <v>0</v>
      </c>
      <c r="AB51" s="18">
        <f t="shared" si="34"/>
        <v>0</v>
      </c>
      <c r="AD51" s="36">
        <v>21</v>
      </c>
      <c r="AE51" s="36">
        <f>G51*0.782543352601156</f>
        <v>0</v>
      </c>
      <c r="AF51" s="36">
        <f>G51*(1-0.782543352601156)</f>
        <v>0</v>
      </c>
      <c r="AG51" s="31" t="s">
        <v>13</v>
      </c>
      <c r="AM51" s="36">
        <f t="shared" si="35"/>
        <v>0</v>
      </c>
      <c r="AN51" s="36">
        <f t="shared" si="36"/>
        <v>0</v>
      </c>
      <c r="AO51" s="37" t="s">
        <v>264</v>
      </c>
      <c r="AP51" s="37" t="s">
        <v>277</v>
      </c>
      <c r="AQ51" s="27" t="s">
        <v>284</v>
      </c>
      <c r="AS51" s="36">
        <f t="shared" si="37"/>
        <v>0</v>
      </c>
      <c r="AT51" s="36">
        <f t="shared" si="38"/>
        <v>0</v>
      </c>
      <c r="AU51" s="36">
        <v>0</v>
      </c>
      <c r="AV51" s="36">
        <f t="shared" si="39"/>
        <v>0.00192</v>
      </c>
    </row>
    <row r="52" spans="1:48" ht="12.75">
      <c r="A52" s="5" t="s">
        <v>35</v>
      </c>
      <c r="B52" s="5" t="s">
        <v>73</v>
      </c>
      <c r="C52" s="5" t="s">
        <v>110</v>
      </c>
      <c r="D52" s="5" t="s">
        <v>183</v>
      </c>
      <c r="E52" s="5" t="s">
        <v>229</v>
      </c>
      <c r="F52" s="18">
        <v>8</v>
      </c>
      <c r="G52" s="18">
        <v>0</v>
      </c>
      <c r="H52" s="18">
        <f t="shared" si="20"/>
        <v>0</v>
      </c>
      <c r="I52" s="18">
        <f t="shared" si="21"/>
        <v>0</v>
      </c>
      <c r="J52" s="18">
        <f t="shared" si="22"/>
        <v>0</v>
      </c>
      <c r="K52" s="18">
        <v>0.00068</v>
      </c>
      <c r="L52" s="18">
        <f t="shared" si="23"/>
        <v>0.00544</v>
      </c>
      <c r="M52" s="31" t="s">
        <v>250</v>
      </c>
      <c r="P52" s="36">
        <f t="shared" si="24"/>
        <v>0</v>
      </c>
      <c r="R52" s="36">
        <f t="shared" si="25"/>
        <v>0</v>
      </c>
      <c r="S52" s="36">
        <f t="shared" si="26"/>
        <v>0</v>
      </c>
      <c r="T52" s="36">
        <f t="shared" si="27"/>
        <v>0</v>
      </c>
      <c r="U52" s="36">
        <f t="shared" si="28"/>
        <v>0</v>
      </c>
      <c r="V52" s="36">
        <f t="shared" si="29"/>
        <v>0</v>
      </c>
      <c r="W52" s="36">
        <f t="shared" si="30"/>
        <v>0</v>
      </c>
      <c r="X52" s="36">
        <f t="shared" si="31"/>
        <v>0</v>
      </c>
      <c r="Y52" s="27" t="s">
        <v>73</v>
      </c>
      <c r="Z52" s="18">
        <f t="shared" si="32"/>
        <v>0</v>
      </c>
      <c r="AA52" s="18">
        <f t="shared" si="33"/>
        <v>0</v>
      </c>
      <c r="AB52" s="18">
        <f t="shared" si="34"/>
        <v>0</v>
      </c>
      <c r="AD52" s="36">
        <v>21</v>
      </c>
      <c r="AE52" s="36">
        <f>G52*0.811739864864865</f>
        <v>0</v>
      </c>
      <c r="AF52" s="36">
        <f>G52*(1-0.811739864864865)</f>
        <v>0</v>
      </c>
      <c r="AG52" s="31" t="s">
        <v>13</v>
      </c>
      <c r="AM52" s="36">
        <f t="shared" si="35"/>
        <v>0</v>
      </c>
      <c r="AN52" s="36">
        <f t="shared" si="36"/>
        <v>0</v>
      </c>
      <c r="AO52" s="37" t="s">
        <v>264</v>
      </c>
      <c r="AP52" s="37" t="s">
        <v>277</v>
      </c>
      <c r="AQ52" s="27" t="s">
        <v>284</v>
      </c>
      <c r="AS52" s="36">
        <f t="shared" si="37"/>
        <v>0</v>
      </c>
      <c r="AT52" s="36">
        <f t="shared" si="38"/>
        <v>0</v>
      </c>
      <c r="AU52" s="36">
        <v>0</v>
      </c>
      <c r="AV52" s="36">
        <f t="shared" si="39"/>
        <v>0.00544</v>
      </c>
    </row>
    <row r="53" spans="1:48" ht="25.5">
      <c r="A53" s="5" t="s">
        <v>36</v>
      </c>
      <c r="B53" s="5" t="s">
        <v>73</v>
      </c>
      <c r="C53" s="5" t="s">
        <v>111</v>
      </c>
      <c r="D53" s="59" t="s">
        <v>184</v>
      </c>
      <c r="E53" s="5" t="s">
        <v>229</v>
      </c>
      <c r="F53" s="18">
        <v>4</v>
      </c>
      <c r="G53" s="18">
        <v>0</v>
      </c>
      <c r="H53" s="18">
        <f t="shared" si="20"/>
        <v>0</v>
      </c>
      <c r="I53" s="18">
        <f t="shared" si="21"/>
        <v>0</v>
      </c>
      <c r="J53" s="18">
        <f t="shared" si="22"/>
        <v>0</v>
      </c>
      <c r="K53" s="18">
        <v>0</v>
      </c>
      <c r="L53" s="18">
        <f t="shared" si="23"/>
        <v>0</v>
      </c>
      <c r="M53" s="31" t="s">
        <v>250</v>
      </c>
      <c r="P53" s="36">
        <f t="shared" si="24"/>
        <v>0</v>
      </c>
      <c r="R53" s="36">
        <f t="shared" si="25"/>
        <v>0</v>
      </c>
      <c r="S53" s="36">
        <f t="shared" si="26"/>
        <v>0</v>
      </c>
      <c r="T53" s="36">
        <f t="shared" si="27"/>
        <v>0</v>
      </c>
      <c r="U53" s="36">
        <f t="shared" si="28"/>
        <v>0</v>
      </c>
      <c r="V53" s="36">
        <f t="shared" si="29"/>
        <v>0</v>
      </c>
      <c r="W53" s="36">
        <f t="shared" si="30"/>
        <v>0</v>
      </c>
      <c r="X53" s="36">
        <f t="shared" si="31"/>
        <v>0</v>
      </c>
      <c r="Y53" s="27" t="s">
        <v>73</v>
      </c>
      <c r="Z53" s="18">
        <f t="shared" si="32"/>
        <v>0</v>
      </c>
      <c r="AA53" s="18">
        <f t="shared" si="33"/>
        <v>0</v>
      </c>
      <c r="AB53" s="18">
        <f t="shared" si="34"/>
        <v>0</v>
      </c>
      <c r="AD53" s="36">
        <v>21</v>
      </c>
      <c r="AE53" s="36">
        <f>G53*0.115807560137457</f>
        <v>0</v>
      </c>
      <c r="AF53" s="36">
        <f>G53*(1-0.115807560137457)</f>
        <v>0</v>
      </c>
      <c r="AG53" s="31" t="s">
        <v>13</v>
      </c>
      <c r="AM53" s="36">
        <f t="shared" si="35"/>
        <v>0</v>
      </c>
      <c r="AN53" s="36">
        <f t="shared" si="36"/>
        <v>0</v>
      </c>
      <c r="AO53" s="37" t="s">
        <v>264</v>
      </c>
      <c r="AP53" s="37" t="s">
        <v>277</v>
      </c>
      <c r="AQ53" s="27" t="s">
        <v>284</v>
      </c>
      <c r="AS53" s="36">
        <f t="shared" si="37"/>
        <v>0</v>
      </c>
      <c r="AT53" s="36">
        <f t="shared" si="38"/>
        <v>0</v>
      </c>
      <c r="AU53" s="36">
        <v>0</v>
      </c>
      <c r="AV53" s="36">
        <f t="shared" si="39"/>
        <v>0</v>
      </c>
    </row>
    <row r="54" spans="1:48" ht="12.75">
      <c r="A54" s="5" t="s">
        <v>37</v>
      </c>
      <c r="B54" s="5" t="s">
        <v>73</v>
      </c>
      <c r="C54" s="5" t="s">
        <v>112</v>
      </c>
      <c r="D54" s="5" t="s">
        <v>185</v>
      </c>
      <c r="E54" s="5" t="s">
        <v>229</v>
      </c>
      <c r="F54" s="18">
        <v>72</v>
      </c>
      <c r="G54" s="18">
        <v>0</v>
      </c>
      <c r="H54" s="18">
        <f t="shared" si="20"/>
        <v>0</v>
      </c>
      <c r="I54" s="18">
        <f t="shared" si="21"/>
        <v>0</v>
      </c>
      <c r="J54" s="18">
        <f t="shared" si="22"/>
        <v>0</v>
      </c>
      <c r="K54" s="18">
        <v>0.00014</v>
      </c>
      <c r="L54" s="18">
        <f t="shared" si="23"/>
        <v>0.010079999999999999</v>
      </c>
      <c r="M54" s="31" t="s">
        <v>250</v>
      </c>
      <c r="P54" s="36">
        <f t="shared" si="24"/>
        <v>0</v>
      </c>
      <c r="R54" s="36">
        <f t="shared" si="25"/>
        <v>0</v>
      </c>
      <c r="S54" s="36">
        <f t="shared" si="26"/>
        <v>0</v>
      </c>
      <c r="T54" s="36">
        <f t="shared" si="27"/>
        <v>0</v>
      </c>
      <c r="U54" s="36">
        <f t="shared" si="28"/>
        <v>0</v>
      </c>
      <c r="V54" s="36">
        <f t="shared" si="29"/>
        <v>0</v>
      </c>
      <c r="W54" s="36">
        <f t="shared" si="30"/>
        <v>0</v>
      </c>
      <c r="X54" s="36">
        <f t="shared" si="31"/>
        <v>0</v>
      </c>
      <c r="Y54" s="27" t="s">
        <v>73</v>
      </c>
      <c r="Z54" s="18">
        <f t="shared" si="32"/>
        <v>0</v>
      </c>
      <c r="AA54" s="18">
        <f t="shared" si="33"/>
        <v>0</v>
      </c>
      <c r="AB54" s="18">
        <f t="shared" si="34"/>
        <v>0</v>
      </c>
      <c r="AD54" s="36">
        <v>21</v>
      </c>
      <c r="AE54" s="36">
        <f>G54*0.920559254327563</f>
        <v>0</v>
      </c>
      <c r="AF54" s="36">
        <f>G54*(1-0.920559254327563)</f>
        <v>0</v>
      </c>
      <c r="AG54" s="31" t="s">
        <v>13</v>
      </c>
      <c r="AM54" s="36">
        <f t="shared" si="35"/>
        <v>0</v>
      </c>
      <c r="AN54" s="36">
        <f t="shared" si="36"/>
        <v>0</v>
      </c>
      <c r="AO54" s="37" t="s">
        <v>264</v>
      </c>
      <c r="AP54" s="37" t="s">
        <v>277</v>
      </c>
      <c r="AQ54" s="27" t="s">
        <v>284</v>
      </c>
      <c r="AS54" s="36">
        <f t="shared" si="37"/>
        <v>0</v>
      </c>
      <c r="AT54" s="36">
        <f t="shared" si="38"/>
        <v>0</v>
      </c>
      <c r="AU54" s="36">
        <v>0</v>
      </c>
      <c r="AV54" s="36">
        <f t="shared" si="39"/>
        <v>0.010079999999999999</v>
      </c>
    </row>
    <row r="55" spans="1:48" ht="12.75">
      <c r="A55" s="5" t="s">
        <v>38</v>
      </c>
      <c r="B55" s="5" t="s">
        <v>73</v>
      </c>
      <c r="C55" s="5" t="s">
        <v>113</v>
      </c>
      <c r="D55" s="5" t="s">
        <v>186</v>
      </c>
      <c r="E55" s="5" t="s">
        <v>229</v>
      </c>
      <c r="F55" s="18">
        <v>51</v>
      </c>
      <c r="G55" s="18">
        <v>0</v>
      </c>
      <c r="H55" s="18">
        <f t="shared" si="20"/>
        <v>0</v>
      </c>
      <c r="I55" s="18">
        <f t="shared" si="21"/>
        <v>0</v>
      </c>
      <c r="J55" s="18">
        <f t="shared" si="22"/>
        <v>0</v>
      </c>
      <c r="K55" s="18">
        <v>0.0002</v>
      </c>
      <c r="L55" s="18">
        <f t="shared" si="23"/>
        <v>0.0102</v>
      </c>
      <c r="M55" s="31" t="s">
        <v>250</v>
      </c>
      <c r="P55" s="36">
        <f t="shared" si="24"/>
        <v>0</v>
      </c>
      <c r="R55" s="36">
        <f t="shared" si="25"/>
        <v>0</v>
      </c>
      <c r="S55" s="36">
        <f t="shared" si="26"/>
        <v>0</v>
      </c>
      <c r="T55" s="36">
        <f t="shared" si="27"/>
        <v>0</v>
      </c>
      <c r="U55" s="36">
        <f t="shared" si="28"/>
        <v>0</v>
      </c>
      <c r="V55" s="36">
        <f t="shared" si="29"/>
        <v>0</v>
      </c>
      <c r="W55" s="36">
        <f t="shared" si="30"/>
        <v>0</v>
      </c>
      <c r="X55" s="36">
        <f t="shared" si="31"/>
        <v>0</v>
      </c>
      <c r="Y55" s="27" t="s">
        <v>73</v>
      </c>
      <c r="Z55" s="18">
        <f t="shared" si="32"/>
        <v>0</v>
      </c>
      <c r="AA55" s="18">
        <f t="shared" si="33"/>
        <v>0</v>
      </c>
      <c r="AB55" s="18">
        <f t="shared" si="34"/>
        <v>0</v>
      </c>
      <c r="AD55" s="36">
        <v>21</v>
      </c>
      <c r="AE55" s="36">
        <f>G55*0.849408099688474</f>
        <v>0</v>
      </c>
      <c r="AF55" s="36">
        <f>G55*(1-0.849408099688474)</f>
        <v>0</v>
      </c>
      <c r="AG55" s="31" t="s">
        <v>13</v>
      </c>
      <c r="AM55" s="36">
        <f t="shared" si="35"/>
        <v>0</v>
      </c>
      <c r="AN55" s="36">
        <f t="shared" si="36"/>
        <v>0</v>
      </c>
      <c r="AO55" s="37" t="s">
        <v>264</v>
      </c>
      <c r="AP55" s="37" t="s">
        <v>277</v>
      </c>
      <c r="AQ55" s="27" t="s">
        <v>284</v>
      </c>
      <c r="AS55" s="36">
        <f t="shared" si="37"/>
        <v>0</v>
      </c>
      <c r="AT55" s="36">
        <f t="shared" si="38"/>
        <v>0</v>
      </c>
      <c r="AU55" s="36">
        <v>0</v>
      </c>
      <c r="AV55" s="36">
        <f t="shared" si="39"/>
        <v>0.0102</v>
      </c>
    </row>
    <row r="56" spans="1:48" ht="12.75">
      <c r="A56" s="5" t="s">
        <v>39</v>
      </c>
      <c r="B56" s="5" t="s">
        <v>73</v>
      </c>
      <c r="C56" s="5" t="s">
        <v>114</v>
      </c>
      <c r="D56" s="5" t="s">
        <v>187</v>
      </c>
      <c r="E56" s="5" t="s">
        <v>229</v>
      </c>
      <c r="F56" s="18">
        <v>6</v>
      </c>
      <c r="G56" s="18">
        <v>0</v>
      </c>
      <c r="H56" s="18">
        <f t="shared" si="20"/>
        <v>0</v>
      </c>
      <c r="I56" s="18">
        <f t="shared" si="21"/>
        <v>0</v>
      </c>
      <c r="J56" s="18">
        <f t="shared" si="22"/>
        <v>0</v>
      </c>
      <c r="K56" s="18">
        <v>0.0002</v>
      </c>
      <c r="L56" s="18">
        <f t="shared" si="23"/>
        <v>0.0012000000000000001</v>
      </c>
      <c r="M56" s="31" t="s">
        <v>250</v>
      </c>
      <c r="P56" s="36">
        <f t="shared" si="24"/>
        <v>0</v>
      </c>
      <c r="R56" s="36">
        <f t="shared" si="25"/>
        <v>0</v>
      </c>
      <c r="S56" s="36">
        <f t="shared" si="26"/>
        <v>0</v>
      </c>
      <c r="T56" s="36">
        <f t="shared" si="27"/>
        <v>0</v>
      </c>
      <c r="U56" s="36">
        <f t="shared" si="28"/>
        <v>0</v>
      </c>
      <c r="V56" s="36">
        <f t="shared" si="29"/>
        <v>0</v>
      </c>
      <c r="W56" s="36">
        <f t="shared" si="30"/>
        <v>0</v>
      </c>
      <c r="X56" s="36">
        <f t="shared" si="31"/>
        <v>0</v>
      </c>
      <c r="Y56" s="27" t="s">
        <v>73</v>
      </c>
      <c r="Z56" s="18">
        <f t="shared" si="32"/>
        <v>0</v>
      </c>
      <c r="AA56" s="18">
        <f t="shared" si="33"/>
        <v>0</v>
      </c>
      <c r="AB56" s="18">
        <f t="shared" si="34"/>
        <v>0</v>
      </c>
      <c r="AD56" s="36">
        <v>21</v>
      </c>
      <c r="AE56" s="36">
        <f>G56*0.847668067226891</f>
        <v>0</v>
      </c>
      <c r="AF56" s="36">
        <f>G56*(1-0.847668067226891)</f>
        <v>0</v>
      </c>
      <c r="AG56" s="31" t="s">
        <v>13</v>
      </c>
      <c r="AM56" s="36">
        <f t="shared" si="35"/>
        <v>0</v>
      </c>
      <c r="AN56" s="36">
        <f t="shared" si="36"/>
        <v>0</v>
      </c>
      <c r="AO56" s="37" t="s">
        <v>264</v>
      </c>
      <c r="AP56" s="37" t="s">
        <v>277</v>
      </c>
      <c r="AQ56" s="27" t="s">
        <v>284</v>
      </c>
      <c r="AS56" s="36">
        <f t="shared" si="37"/>
        <v>0</v>
      </c>
      <c r="AT56" s="36">
        <f t="shared" si="38"/>
        <v>0</v>
      </c>
      <c r="AU56" s="36">
        <v>0</v>
      </c>
      <c r="AV56" s="36">
        <f t="shared" si="39"/>
        <v>0.0012000000000000001</v>
      </c>
    </row>
    <row r="57" spans="1:48" ht="12.75">
      <c r="A57" s="5" t="s">
        <v>40</v>
      </c>
      <c r="B57" s="5" t="s">
        <v>73</v>
      </c>
      <c r="C57" s="5" t="s">
        <v>115</v>
      </c>
      <c r="D57" s="5" t="s">
        <v>188</v>
      </c>
      <c r="E57" s="5" t="s">
        <v>229</v>
      </c>
      <c r="F57" s="18">
        <v>2</v>
      </c>
      <c r="G57" s="18">
        <v>0</v>
      </c>
      <c r="H57" s="18">
        <f t="shared" si="20"/>
        <v>0</v>
      </c>
      <c r="I57" s="18">
        <f t="shared" si="21"/>
        <v>0</v>
      </c>
      <c r="J57" s="18">
        <f t="shared" si="22"/>
        <v>0</v>
      </c>
      <c r="K57" s="18">
        <v>0.00015</v>
      </c>
      <c r="L57" s="18">
        <f t="shared" si="23"/>
        <v>0.0003</v>
      </c>
      <c r="M57" s="31" t="s">
        <v>250</v>
      </c>
      <c r="P57" s="36">
        <f t="shared" si="24"/>
        <v>0</v>
      </c>
      <c r="R57" s="36">
        <f t="shared" si="25"/>
        <v>0</v>
      </c>
      <c r="S57" s="36">
        <f t="shared" si="26"/>
        <v>0</v>
      </c>
      <c r="T57" s="36">
        <f t="shared" si="27"/>
        <v>0</v>
      </c>
      <c r="U57" s="36">
        <f t="shared" si="28"/>
        <v>0</v>
      </c>
      <c r="V57" s="36">
        <f t="shared" si="29"/>
        <v>0</v>
      </c>
      <c r="W57" s="36">
        <f t="shared" si="30"/>
        <v>0</v>
      </c>
      <c r="X57" s="36">
        <f t="shared" si="31"/>
        <v>0</v>
      </c>
      <c r="Y57" s="27" t="s">
        <v>73</v>
      </c>
      <c r="Z57" s="18">
        <f t="shared" si="32"/>
        <v>0</v>
      </c>
      <c r="AA57" s="18">
        <f t="shared" si="33"/>
        <v>0</v>
      </c>
      <c r="AB57" s="18">
        <f t="shared" si="34"/>
        <v>0</v>
      </c>
      <c r="AD57" s="36">
        <v>21</v>
      </c>
      <c r="AE57" s="36">
        <f>G57*0.742296650717703</f>
        <v>0</v>
      </c>
      <c r="AF57" s="36">
        <f>G57*(1-0.742296650717703)</f>
        <v>0</v>
      </c>
      <c r="AG57" s="31" t="s">
        <v>13</v>
      </c>
      <c r="AM57" s="36">
        <f t="shared" si="35"/>
        <v>0</v>
      </c>
      <c r="AN57" s="36">
        <f t="shared" si="36"/>
        <v>0</v>
      </c>
      <c r="AO57" s="37" t="s">
        <v>264</v>
      </c>
      <c r="AP57" s="37" t="s">
        <v>277</v>
      </c>
      <c r="AQ57" s="27" t="s">
        <v>284</v>
      </c>
      <c r="AS57" s="36">
        <f t="shared" si="37"/>
        <v>0</v>
      </c>
      <c r="AT57" s="36">
        <f t="shared" si="38"/>
        <v>0</v>
      </c>
      <c r="AU57" s="36">
        <v>0</v>
      </c>
      <c r="AV57" s="36">
        <f t="shared" si="39"/>
        <v>0.0003</v>
      </c>
    </row>
    <row r="58" spans="1:48" ht="12.75">
      <c r="A58" s="5" t="s">
        <v>41</v>
      </c>
      <c r="B58" s="5" t="s">
        <v>73</v>
      </c>
      <c r="C58" s="5" t="s">
        <v>116</v>
      </c>
      <c r="D58" s="5" t="s">
        <v>189</v>
      </c>
      <c r="E58" s="5" t="s">
        <v>229</v>
      </c>
      <c r="F58" s="18">
        <v>3</v>
      </c>
      <c r="G58" s="18">
        <v>0</v>
      </c>
      <c r="H58" s="18">
        <f t="shared" si="20"/>
        <v>0</v>
      </c>
      <c r="I58" s="18">
        <f t="shared" si="21"/>
        <v>0</v>
      </c>
      <c r="J58" s="18">
        <f t="shared" si="22"/>
        <v>0</v>
      </c>
      <c r="K58" s="18">
        <v>0.00023</v>
      </c>
      <c r="L58" s="18">
        <f t="shared" si="23"/>
        <v>0.0006900000000000001</v>
      </c>
      <c r="M58" s="31" t="s">
        <v>250</v>
      </c>
      <c r="P58" s="36">
        <f t="shared" si="24"/>
        <v>0</v>
      </c>
      <c r="R58" s="36">
        <f t="shared" si="25"/>
        <v>0</v>
      </c>
      <c r="S58" s="36">
        <f t="shared" si="26"/>
        <v>0</v>
      </c>
      <c r="T58" s="36">
        <f t="shared" si="27"/>
        <v>0</v>
      </c>
      <c r="U58" s="36">
        <f t="shared" si="28"/>
        <v>0</v>
      </c>
      <c r="V58" s="36">
        <f t="shared" si="29"/>
        <v>0</v>
      </c>
      <c r="W58" s="36">
        <f t="shared" si="30"/>
        <v>0</v>
      </c>
      <c r="X58" s="36">
        <f t="shared" si="31"/>
        <v>0</v>
      </c>
      <c r="Y58" s="27" t="s">
        <v>73</v>
      </c>
      <c r="Z58" s="18">
        <f t="shared" si="32"/>
        <v>0</v>
      </c>
      <c r="AA58" s="18">
        <f t="shared" si="33"/>
        <v>0</v>
      </c>
      <c r="AB58" s="18">
        <f t="shared" si="34"/>
        <v>0</v>
      </c>
      <c r="AD58" s="36">
        <v>21</v>
      </c>
      <c r="AE58" s="36">
        <f>G58*0.849319320650969</f>
        <v>0</v>
      </c>
      <c r="AF58" s="36">
        <f>G58*(1-0.849319320650969)</f>
        <v>0</v>
      </c>
      <c r="AG58" s="31" t="s">
        <v>13</v>
      </c>
      <c r="AM58" s="36">
        <f t="shared" si="35"/>
        <v>0</v>
      </c>
      <c r="AN58" s="36">
        <f t="shared" si="36"/>
        <v>0</v>
      </c>
      <c r="AO58" s="37" t="s">
        <v>264</v>
      </c>
      <c r="AP58" s="37" t="s">
        <v>277</v>
      </c>
      <c r="AQ58" s="27" t="s">
        <v>284</v>
      </c>
      <c r="AS58" s="36">
        <f t="shared" si="37"/>
        <v>0</v>
      </c>
      <c r="AT58" s="36">
        <f t="shared" si="38"/>
        <v>0</v>
      </c>
      <c r="AU58" s="36">
        <v>0</v>
      </c>
      <c r="AV58" s="36">
        <f t="shared" si="39"/>
        <v>0.0006900000000000001</v>
      </c>
    </row>
    <row r="59" spans="1:48" ht="12.75">
      <c r="A59" s="5" t="s">
        <v>42</v>
      </c>
      <c r="B59" s="5" t="s">
        <v>73</v>
      </c>
      <c r="C59" s="5" t="s">
        <v>117</v>
      </c>
      <c r="D59" s="5" t="s">
        <v>190</v>
      </c>
      <c r="E59" s="5" t="s">
        <v>229</v>
      </c>
      <c r="F59" s="18">
        <v>1</v>
      </c>
      <c r="G59" s="18">
        <v>0</v>
      </c>
      <c r="H59" s="18">
        <f t="shared" si="20"/>
        <v>0</v>
      </c>
      <c r="I59" s="18">
        <f t="shared" si="21"/>
        <v>0</v>
      </c>
      <c r="J59" s="18">
        <f t="shared" si="22"/>
        <v>0</v>
      </c>
      <c r="K59" s="18">
        <v>0.00044</v>
      </c>
      <c r="L59" s="18">
        <f t="shared" si="23"/>
        <v>0.00044</v>
      </c>
      <c r="M59" s="31" t="s">
        <v>250</v>
      </c>
      <c r="P59" s="36">
        <f t="shared" si="24"/>
        <v>0</v>
      </c>
      <c r="R59" s="36">
        <f t="shared" si="25"/>
        <v>0</v>
      </c>
      <c r="S59" s="36">
        <f t="shared" si="26"/>
        <v>0</v>
      </c>
      <c r="T59" s="36">
        <f t="shared" si="27"/>
        <v>0</v>
      </c>
      <c r="U59" s="36">
        <f t="shared" si="28"/>
        <v>0</v>
      </c>
      <c r="V59" s="36">
        <f t="shared" si="29"/>
        <v>0</v>
      </c>
      <c r="W59" s="36">
        <f t="shared" si="30"/>
        <v>0</v>
      </c>
      <c r="X59" s="36">
        <f t="shared" si="31"/>
        <v>0</v>
      </c>
      <c r="Y59" s="27" t="s">
        <v>73</v>
      </c>
      <c r="Z59" s="18">
        <f t="shared" si="32"/>
        <v>0</v>
      </c>
      <c r="AA59" s="18">
        <f t="shared" si="33"/>
        <v>0</v>
      </c>
      <c r="AB59" s="18">
        <f t="shared" si="34"/>
        <v>0</v>
      </c>
      <c r="AD59" s="36">
        <v>21</v>
      </c>
      <c r="AE59" s="36">
        <f>G59*0.883831045623152</f>
        <v>0</v>
      </c>
      <c r="AF59" s="36">
        <f>G59*(1-0.883831045623152)</f>
        <v>0</v>
      </c>
      <c r="AG59" s="31" t="s">
        <v>13</v>
      </c>
      <c r="AM59" s="36">
        <f t="shared" si="35"/>
        <v>0</v>
      </c>
      <c r="AN59" s="36">
        <f t="shared" si="36"/>
        <v>0</v>
      </c>
      <c r="AO59" s="37" t="s">
        <v>264</v>
      </c>
      <c r="AP59" s="37" t="s">
        <v>277</v>
      </c>
      <c r="AQ59" s="27" t="s">
        <v>284</v>
      </c>
      <c r="AS59" s="36">
        <f t="shared" si="37"/>
        <v>0</v>
      </c>
      <c r="AT59" s="36">
        <f t="shared" si="38"/>
        <v>0</v>
      </c>
      <c r="AU59" s="36">
        <v>0</v>
      </c>
      <c r="AV59" s="36">
        <f t="shared" si="39"/>
        <v>0.00044</v>
      </c>
    </row>
    <row r="60" spans="1:48" ht="12.75">
      <c r="A60" s="5" t="s">
        <v>43</v>
      </c>
      <c r="B60" s="5" t="s">
        <v>73</v>
      </c>
      <c r="C60" s="5" t="s">
        <v>118</v>
      </c>
      <c r="D60" s="5" t="s">
        <v>191</v>
      </c>
      <c r="E60" s="5" t="s">
        <v>229</v>
      </c>
      <c r="F60" s="18">
        <v>14</v>
      </c>
      <c r="G60" s="18">
        <v>0</v>
      </c>
      <c r="H60" s="18">
        <f t="shared" si="20"/>
        <v>0</v>
      </c>
      <c r="I60" s="18">
        <f t="shared" si="21"/>
        <v>0</v>
      </c>
      <c r="J60" s="18">
        <f t="shared" si="22"/>
        <v>0</v>
      </c>
      <c r="K60" s="18">
        <v>0.00024</v>
      </c>
      <c r="L60" s="18">
        <f t="shared" si="23"/>
        <v>0.00336</v>
      </c>
      <c r="M60" s="31" t="s">
        <v>250</v>
      </c>
      <c r="P60" s="36">
        <f t="shared" si="24"/>
        <v>0</v>
      </c>
      <c r="R60" s="36">
        <f t="shared" si="25"/>
        <v>0</v>
      </c>
      <c r="S60" s="36">
        <f t="shared" si="26"/>
        <v>0</v>
      </c>
      <c r="T60" s="36">
        <f t="shared" si="27"/>
        <v>0</v>
      </c>
      <c r="U60" s="36">
        <f t="shared" si="28"/>
        <v>0</v>
      </c>
      <c r="V60" s="36">
        <f t="shared" si="29"/>
        <v>0</v>
      </c>
      <c r="W60" s="36">
        <f t="shared" si="30"/>
        <v>0</v>
      </c>
      <c r="X60" s="36">
        <f t="shared" si="31"/>
        <v>0</v>
      </c>
      <c r="Y60" s="27" t="s">
        <v>73</v>
      </c>
      <c r="Z60" s="18">
        <f t="shared" si="32"/>
        <v>0</v>
      </c>
      <c r="AA60" s="18">
        <f t="shared" si="33"/>
        <v>0</v>
      </c>
      <c r="AB60" s="18">
        <f t="shared" si="34"/>
        <v>0</v>
      </c>
      <c r="AD60" s="36">
        <v>21</v>
      </c>
      <c r="AE60" s="36">
        <f>G60*0.248167047920699</f>
        <v>0</v>
      </c>
      <c r="AF60" s="36">
        <f>G60*(1-0.248167047920699)</f>
        <v>0</v>
      </c>
      <c r="AG60" s="31" t="s">
        <v>13</v>
      </c>
      <c r="AM60" s="36">
        <f t="shared" si="35"/>
        <v>0</v>
      </c>
      <c r="AN60" s="36">
        <f t="shared" si="36"/>
        <v>0</v>
      </c>
      <c r="AO60" s="37" t="s">
        <v>264</v>
      </c>
      <c r="AP60" s="37" t="s">
        <v>277</v>
      </c>
      <c r="AQ60" s="27" t="s">
        <v>284</v>
      </c>
      <c r="AS60" s="36">
        <f t="shared" si="37"/>
        <v>0</v>
      </c>
      <c r="AT60" s="36">
        <f t="shared" si="38"/>
        <v>0</v>
      </c>
      <c r="AU60" s="36">
        <v>0</v>
      </c>
      <c r="AV60" s="36">
        <f t="shared" si="39"/>
        <v>0.00336</v>
      </c>
    </row>
    <row r="61" spans="1:48" ht="12.75">
      <c r="A61" s="5" t="s">
        <v>44</v>
      </c>
      <c r="B61" s="5" t="s">
        <v>73</v>
      </c>
      <c r="C61" s="5" t="s">
        <v>119</v>
      </c>
      <c r="D61" s="5" t="s">
        <v>192</v>
      </c>
      <c r="E61" s="5" t="s">
        <v>229</v>
      </c>
      <c r="F61" s="18">
        <v>4</v>
      </c>
      <c r="G61" s="18">
        <v>0</v>
      </c>
      <c r="H61" s="18">
        <f t="shared" si="20"/>
        <v>0</v>
      </c>
      <c r="I61" s="18">
        <f t="shared" si="21"/>
        <v>0</v>
      </c>
      <c r="J61" s="18">
        <f t="shared" si="22"/>
        <v>0</v>
      </c>
      <c r="K61" s="18">
        <v>0.00026</v>
      </c>
      <c r="L61" s="18">
        <f t="shared" si="23"/>
        <v>0.00104</v>
      </c>
      <c r="M61" s="31" t="s">
        <v>250</v>
      </c>
      <c r="P61" s="36">
        <f t="shared" si="24"/>
        <v>0</v>
      </c>
      <c r="R61" s="36">
        <f t="shared" si="25"/>
        <v>0</v>
      </c>
      <c r="S61" s="36">
        <f t="shared" si="26"/>
        <v>0</v>
      </c>
      <c r="T61" s="36">
        <f t="shared" si="27"/>
        <v>0</v>
      </c>
      <c r="U61" s="36">
        <f t="shared" si="28"/>
        <v>0</v>
      </c>
      <c r="V61" s="36">
        <f t="shared" si="29"/>
        <v>0</v>
      </c>
      <c r="W61" s="36">
        <f t="shared" si="30"/>
        <v>0</v>
      </c>
      <c r="X61" s="36">
        <f t="shared" si="31"/>
        <v>0</v>
      </c>
      <c r="Y61" s="27" t="s">
        <v>73</v>
      </c>
      <c r="Z61" s="18">
        <f t="shared" si="32"/>
        <v>0</v>
      </c>
      <c r="AA61" s="18">
        <f t="shared" si="33"/>
        <v>0</v>
      </c>
      <c r="AB61" s="18">
        <f t="shared" si="34"/>
        <v>0</v>
      </c>
      <c r="AD61" s="36">
        <v>21</v>
      </c>
      <c r="AE61" s="36">
        <f>G61*0.248167047920699</f>
        <v>0</v>
      </c>
      <c r="AF61" s="36">
        <f>G61*(1-0.248167047920699)</f>
        <v>0</v>
      </c>
      <c r="AG61" s="31" t="s">
        <v>13</v>
      </c>
      <c r="AM61" s="36">
        <f t="shared" si="35"/>
        <v>0</v>
      </c>
      <c r="AN61" s="36">
        <f t="shared" si="36"/>
        <v>0</v>
      </c>
      <c r="AO61" s="37" t="s">
        <v>264</v>
      </c>
      <c r="AP61" s="37" t="s">
        <v>277</v>
      </c>
      <c r="AQ61" s="27" t="s">
        <v>284</v>
      </c>
      <c r="AS61" s="36">
        <f t="shared" si="37"/>
        <v>0</v>
      </c>
      <c r="AT61" s="36">
        <f t="shared" si="38"/>
        <v>0</v>
      </c>
      <c r="AU61" s="36">
        <v>0</v>
      </c>
      <c r="AV61" s="36">
        <f t="shared" si="39"/>
        <v>0.00104</v>
      </c>
    </row>
    <row r="62" spans="1:48" ht="12.75">
      <c r="A62" s="5" t="s">
        <v>45</v>
      </c>
      <c r="B62" s="5" t="s">
        <v>73</v>
      </c>
      <c r="C62" s="5" t="s">
        <v>120</v>
      </c>
      <c r="D62" s="5" t="s">
        <v>193</v>
      </c>
      <c r="E62" s="5" t="s">
        <v>229</v>
      </c>
      <c r="F62" s="18">
        <v>8</v>
      </c>
      <c r="G62" s="18">
        <v>0</v>
      </c>
      <c r="H62" s="18">
        <f t="shared" si="20"/>
        <v>0</v>
      </c>
      <c r="I62" s="18">
        <f t="shared" si="21"/>
        <v>0</v>
      </c>
      <c r="J62" s="18">
        <f t="shared" si="22"/>
        <v>0</v>
      </c>
      <c r="K62" s="18">
        <v>0.00037</v>
      </c>
      <c r="L62" s="18">
        <f t="shared" si="23"/>
        <v>0.00296</v>
      </c>
      <c r="M62" s="31" t="s">
        <v>250</v>
      </c>
      <c r="P62" s="36">
        <f t="shared" si="24"/>
        <v>0</v>
      </c>
      <c r="R62" s="36">
        <f t="shared" si="25"/>
        <v>0</v>
      </c>
      <c r="S62" s="36">
        <f t="shared" si="26"/>
        <v>0</v>
      </c>
      <c r="T62" s="36">
        <f t="shared" si="27"/>
        <v>0</v>
      </c>
      <c r="U62" s="36">
        <f t="shared" si="28"/>
        <v>0</v>
      </c>
      <c r="V62" s="36">
        <f t="shared" si="29"/>
        <v>0</v>
      </c>
      <c r="W62" s="36">
        <f t="shared" si="30"/>
        <v>0</v>
      </c>
      <c r="X62" s="36">
        <f t="shared" si="31"/>
        <v>0</v>
      </c>
      <c r="Y62" s="27" t="s">
        <v>73</v>
      </c>
      <c r="Z62" s="18">
        <f t="shared" si="32"/>
        <v>0</v>
      </c>
      <c r="AA62" s="18">
        <f t="shared" si="33"/>
        <v>0</v>
      </c>
      <c r="AB62" s="18">
        <f t="shared" si="34"/>
        <v>0</v>
      </c>
      <c r="AD62" s="36">
        <v>21</v>
      </c>
      <c r="AE62" s="36">
        <f>G62*0.292192771084337</f>
        <v>0</v>
      </c>
      <c r="AF62" s="36">
        <f>G62*(1-0.292192771084337)</f>
        <v>0</v>
      </c>
      <c r="AG62" s="31" t="s">
        <v>13</v>
      </c>
      <c r="AM62" s="36">
        <f t="shared" si="35"/>
        <v>0</v>
      </c>
      <c r="AN62" s="36">
        <f t="shared" si="36"/>
        <v>0</v>
      </c>
      <c r="AO62" s="37" t="s">
        <v>264</v>
      </c>
      <c r="AP62" s="37" t="s">
        <v>277</v>
      </c>
      <c r="AQ62" s="27" t="s">
        <v>284</v>
      </c>
      <c r="AS62" s="36">
        <f t="shared" si="37"/>
        <v>0</v>
      </c>
      <c r="AT62" s="36">
        <f t="shared" si="38"/>
        <v>0</v>
      </c>
      <c r="AU62" s="36">
        <v>0</v>
      </c>
      <c r="AV62" s="36">
        <f t="shared" si="39"/>
        <v>0.00296</v>
      </c>
    </row>
    <row r="63" spans="1:48" ht="12.75">
      <c r="A63" s="5" t="s">
        <v>46</v>
      </c>
      <c r="B63" s="5" t="s">
        <v>73</v>
      </c>
      <c r="C63" s="5" t="s">
        <v>121</v>
      </c>
      <c r="D63" s="5" t="s">
        <v>194</v>
      </c>
      <c r="E63" s="5" t="s">
        <v>229</v>
      </c>
      <c r="F63" s="18">
        <v>16</v>
      </c>
      <c r="G63" s="18">
        <v>0</v>
      </c>
      <c r="H63" s="18">
        <f t="shared" si="20"/>
        <v>0</v>
      </c>
      <c r="I63" s="18">
        <f t="shared" si="21"/>
        <v>0</v>
      </c>
      <c r="J63" s="18">
        <f t="shared" si="22"/>
        <v>0</v>
      </c>
      <c r="K63" s="18">
        <v>0.00042</v>
      </c>
      <c r="L63" s="18">
        <f t="shared" si="23"/>
        <v>0.00672</v>
      </c>
      <c r="M63" s="31" t="s">
        <v>250</v>
      </c>
      <c r="P63" s="36">
        <f t="shared" si="24"/>
        <v>0</v>
      </c>
      <c r="R63" s="36">
        <f t="shared" si="25"/>
        <v>0</v>
      </c>
      <c r="S63" s="36">
        <f t="shared" si="26"/>
        <v>0</v>
      </c>
      <c r="T63" s="36">
        <f t="shared" si="27"/>
        <v>0</v>
      </c>
      <c r="U63" s="36">
        <f t="shared" si="28"/>
        <v>0</v>
      </c>
      <c r="V63" s="36">
        <f t="shared" si="29"/>
        <v>0</v>
      </c>
      <c r="W63" s="36">
        <f t="shared" si="30"/>
        <v>0</v>
      </c>
      <c r="X63" s="36">
        <f t="shared" si="31"/>
        <v>0</v>
      </c>
      <c r="Y63" s="27" t="s">
        <v>73</v>
      </c>
      <c r="Z63" s="18">
        <f t="shared" si="32"/>
        <v>0</v>
      </c>
      <c r="AA63" s="18">
        <f t="shared" si="33"/>
        <v>0</v>
      </c>
      <c r="AB63" s="18">
        <f t="shared" si="34"/>
        <v>0</v>
      </c>
      <c r="AD63" s="36">
        <v>21</v>
      </c>
      <c r="AE63" s="36">
        <f>G63*0.30853001902757</f>
        <v>0</v>
      </c>
      <c r="AF63" s="36">
        <f>G63*(1-0.30853001902757)</f>
        <v>0</v>
      </c>
      <c r="AG63" s="31" t="s">
        <v>13</v>
      </c>
      <c r="AM63" s="36">
        <f t="shared" si="35"/>
        <v>0</v>
      </c>
      <c r="AN63" s="36">
        <f t="shared" si="36"/>
        <v>0</v>
      </c>
      <c r="AO63" s="37" t="s">
        <v>264</v>
      </c>
      <c r="AP63" s="37" t="s">
        <v>277</v>
      </c>
      <c r="AQ63" s="27" t="s">
        <v>284</v>
      </c>
      <c r="AS63" s="36">
        <f t="shared" si="37"/>
        <v>0</v>
      </c>
      <c r="AT63" s="36">
        <f t="shared" si="38"/>
        <v>0</v>
      </c>
      <c r="AU63" s="36">
        <v>0</v>
      </c>
      <c r="AV63" s="36">
        <f t="shared" si="39"/>
        <v>0.00672</v>
      </c>
    </row>
    <row r="64" spans="1:37" ht="12.75">
      <c r="A64" s="4"/>
      <c r="B64" s="14" t="s">
        <v>73</v>
      </c>
      <c r="C64" s="14" t="s">
        <v>122</v>
      </c>
      <c r="D64" s="14" t="s">
        <v>195</v>
      </c>
      <c r="E64" s="4" t="s">
        <v>6</v>
      </c>
      <c r="F64" s="4" t="s">
        <v>6</v>
      </c>
      <c r="G64" s="4" t="s">
        <v>6</v>
      </c>
      <c r="H64" s="39">
        <f>SUM(H65:H69)</f>
        <v>0</v>
      </c>
      <c r="I64" s="39">
        <f>SUM(I65:I69)</f>
        <v>0</v>
      </c>
      <c r="J64" s="39">
        <f>H64+I64</f>
        <v>0</v>
      </c>
      <c r="K64" s="27"/>
      <c r="L64" s="39">
        <f>SUM(L65:L69)</f>
        <v>0.10113</v>
      </c>
      <c r="M64" s="27"/>
      <c r="Y64" s="27" t="s">
        <v>73</v>
      </c>
      <c r="AI64" s="39">
        <f>SUM(Z65:Z69)</f>
        <v>0</v>
      </c>
      <c r="AJ64" s="39">
        <f>SUM(AA65:AA69)</f>
        <v>0</v>
      </c>
      <c r="AK64" s="39">
        <f>SUM(AB65:AB69)</f>
        <v>0</v>
      </c>
    </row>
    <row r="65" spans="1:48" ht="12.75">
      <c r="A65" s="5" t="s">
        <v>47</v>
      </c>
      <c r="B65" s="5" t="s">
        <v>73</v>
      </c>
      <c r="C65" s="5" t="s">
        <v>123</v>
      </c>
      <c r="D65" s="5" t="s">
        <v>196</v>
      </c>
      <c r="E65" s="5" t="s">
        <v>229</v>
      </c>
      <c r="F65" s="18">
        <v>76</v>
      </c>
      <c r="G65" s="18">
        <v>0</v>
      </c>
      <c r="H65" s="18">
        <f>F65*AE65</f>
        <v>0</v>
      </c>
      <c r="I65" s="18">
        <f>J65-H65</f>
        <v>0</v>
      </c>
      <c r="J65" s="18">
        <f>F65*G65</f>
        <v>0</v>
      </c>
      <c r="K65" s="18">
        <v>0</v>
      </c>
      <c r="L65" s="18">
        <f>F65*K65</f>
        <v>0</v>
      </c>
      <c r="M65" s="31" t="s">
        <v>250</v>
      </c>
      <c r="P65" s="36">
        <f>IF(AG65="5",J65,0)</f>
        <v>0</v>
      </c>
      <c r="R65" s="36">
        <f>IF(AG65="1",H65,0)</f>
        <v>0</v>
      </c>
      <c r="S65" s="36">
        <f>IF(AG65="1",I65,0)</f>
        <v>0</v>
      </c>
      <c r="T65" s="36">
        <f>IF(AG65="7",H65,0)</f>
        <v>0</v>
      </c>
      <c r="U65" s="36">
        <f>IF(AG65="7",I65,0)</f>
        <v>0</v>
      </c>
      <c r="V65" s="36">
        <f>IF(AG65="2",H65,0)</f>
        <v>0</v>
      </c>
      <c r="W65" s="36">
        <f>IF(AG65="2",I65,0)</f>
        <v>0</v>
      </c>
      <c r="X65" s="36">
        <f>IF(AG65="0",J65,0)</f>
        <v>0</v>
      </c>
      <c r="Y65" s="27" t="s">
        <v>73</v>
      </c>
      <c r="Z65" s="18">
        <f>IF(AD65=0,J65,0)</f>
        <v>0</v>
      </c>
      <c r="AA65" s="18">
        <f>IF(AD65=15,J65,0)</f>
        <v>0</v>
      </c>
      <c r="AB65" s="18">
        <f>IF(AD65=21,J65,0)</f>
        <v>0</v>
      </c>
      <c r="AD65" s="36">
        <v>21</v>
      </c>
      <c r="AE65" s="36">
        <f>G65*0</f>
        <v>0</v>
      </c>
      <c r="AF65" s="36">
        <f>G65*(1-0)</f>
        <v>0</v>
      </c>
      <c r="AG65" s="31" t="s">
        <v>13</v>
      </c>
      <c r="AM65" s="36">
        <f>F65*AE65</f>
        <v>0</v>
      </c>
      <c r="AN65" s="36">
        <f>F65*AF65</f>
        <v>0</v>
      </c>
      <c r="AO65" s="37" t="s">
        <v>268</v>
      </c>
      <c r="AP65" s="37" t="s">
        <v>277</v>
      </c>
      <c r="AQ65" s="27" t="s">
        <v>284</v>
      </c>
      <c r="AS65" s="36">
        <f>AM65+AN65</f>
        <v>0</v>
      </c>
      <c r="AT65" s="36">
        <f>G65/(100-AU65)*100</f>
        <v>0</v>
      </c>
      <c r="AU65" s="36">
        <v>0</v>
      </c>
      <c r="AV65" s="36">
        <f>L65</f>
        <v>0</v>
      </c>
    </row>
    <row r="66" spans="1:48" ht="25.5">
      <c r="A66" s="5" t="s">
        <v>48</v>
      </c>
      <c r="B66" s="5" t="s">
        <v>73</v>
      </c>
      <c r="C66" s="5" t="s">
        <v>124</v>
      </c>
      <c r="D66" s="59" t="s">
        <v>197</v>
      </c>
      <c r="E66" s="5" t="s">
        <v>229</v>
      </c>
      <c r="F66" s="18">
        <v>1</v>
      </c>
      <c r="G66" s="18">
        <v>0</v>
      </c>
      <c r="H66" s="18">
        <f>F66*AE66</f>
        <v>0</v>
      </c>
      <c r="I66" s="18">
        <f>J66-H66</f>
        <v>0</v>
      </c>
      <c r="J66" s="18">
        <f>F66*G66</f>
        <v>0</v>
      </c>
      <c r="K66" s="18">
        <v>0.04356</v>
      </c>
      <c r="L66" s="18">
        <f>F66*K66</f>
        <v>0.04356</v>
      </c>
      <c r="M66" s="31" t="s">
        <v>250</v>
      </c>
      <c r="P66" s="36">
        <f>IF(AG66="5",J66,0)</f>
        <v>0</v>
      </c>
      <c r="R66" s="36">
        <f>IF(AG66="1",H66,0)</f>
        <v>0</v>
      </c>
      <c r="S66" s="36">
        <f>IF(AG66="1",I66,0)</f>
        <v>0</v>
      </c>
      <c r="T66" s="36">
        <f>IF(AG66="7",H66,0)</f>
        <v>0</v>
      </c>
      <c r="U66" s="36">
        <f>IF(AG66="7",I66,0)</f>
        <v>0</v>
      </c>
      <c r="V66" s="36">
        <f>IF(AG66="2",H66,0)</f>
        <v>0</v>
      </c>
      <c r="W66" s="36">
        <f>IF(AG66="2",I66,0)</f>
        <v>0</v>
      </c>
      <c r="X66" s="36">
        <f>IF(AG66="0",J66,0)</f>
        <v>0</v>
      </c>
      <c r="Y66" s="27" t="s">
        <v>73</v>
      </c>
      <c r="Z66" s="18">
        <f>IF(AD66=0,J66,0)</f>
        <v>0</v>
      </c>
      <c r="AA66" s="18">
        <f>IF(AD66=15,J66,0)</f>
        <v>0</v>
      </c>
      <c r="AB66" s="18">
        <f>IF(AD66=21,J66,0)</f>
        <v>0</v>
      </c>
      <c r="AD66" s="36">
        <v>21</v>
      </c>
      <c r="AE66" s="36">
        <f>G66*0.932013737582629</f>
        <v>0</v>
      </c>
      <c r="AF66" s="36">
        <f>G66*(1-0.932013737582629)</f>
        <v>0</v>
      </c>
      <c r="AG66" s="31" t="s">
        <v>13</v>
      </c>
      <c r="AM66" s="36">
        <f>F66*AE66</f>
        <v>0</v>
      </c>
      <c r="AN66" s="36">
        <f>F66*AF66</f>
        <v>0</v>
      </c>
      <c r="AO66" s="37" t="s">
        <v>268</v>
      </c>
      <c r="AP66" s="37" t="s">
        <v>277</v>
      </c>
      <c r="AQ66" s="27" t="s">
        <v>284</v>
      </c>
      <c r="AS66" s="36">
        <f>AM66+AN66</f>
        <v>0</v>
      </c>
      <c r="AT66" s="36">
        <f>G66/(100-AU66)*100</f>
        <v>0</v>
      </c>
      <c r="AU66" s="36">
        <v>0</v>
      </c>
      <c r="AV66" s="36">
        <f>L66</f>
        <v>0.04356</v>
      </c>
    </row>
    <row r="67" spans="1:48" ht="12.75">
      <c r="A67" s="5" t="s">
        <v>49</v>
      </c>
      <c r="B67" s="5" t="s">
        <v>73</v>
      </c>
      <c r="C67" s="5" t="s">
        <v>125</v>
      </c>
      <c r="D67" s="5" t="s">
        <v>198</v>
      </c>
      <c r="E67" s="5" t="s">
        <v>229</v>
      </c>
      <c r="F67" s="18">
        <v>1</v>
      </c>
      <c r="G67" s="18">
        <v>0</v>
      </c>
      <c r="H67" s="18">
        <f>F67*AE67</f>
        <v>0</v>
      </c>
      <c r="I67" s="18">
        <f>J67-H67</f>
        <v>0</v>
      </c>
      <c r="J67" s="18">
        <f>F67*G67</f>
        <v>0</v>
      </c>
      <c r="K67" s="18">
        <v>0.03256</v>
      </c>
      <c r="L67" s="18">
        <f>F67*K67</f>
        <v>0.03256</v>
      </c>
      <c r="M67" s="31" t="s">
        <v>250</v>
      </c>
      <c r="P67" s="36">
        <f>IF(AG67="5",J67,0)</f>
        <v>0</v>
      </c>
      <c r="R67" s="36">
        <f>IF(AG67="1",H67,0)</f>
        <v>0</v>
      </c>
      <c r="S67" s="36">
        <f>IF(AG67="1",I67,0)</f>
        <v>0</v>
      </c>
      <c r="T67" s="36">
        <f>IF(AG67="7",H67,0)</f>
        <v>0</v>
      </c>
      <c r="U67" s="36">
        <f>IF(AG67="7",I67,0)</f>
        <v>0</v>
      </c>
      <c r="V67" s="36">
        <f>IF(AG67="2",H67,0)</f>
        <v>0</v>
      </c>
      <c r="W67" s="36">
        <f>IF(AG67="2",I67,0)</f>
        <v>0</v>
      </c>
      <c r="X67" s="36">
        <f>IF(AG67="0",J67,0)</f>
        <v>0</v>
      </c>
      <c r="Y67" s="27" t="s">
        <v>73</v>
      </c>
      <c r="Z67" s="18">
        <f>IF(AD67=0,J67,0)</f>
        <v>0</v>
      </c>
      <c r="AA67" s="18">
        <f>IF(AD67=15,J67,0)</f>
        <v>0</v>
      </c>
      <c r="AB67" s="18">
        <f>IF(AD67=21,J67,0)</f>
        <v>0</v>
      </c>
      <c r="AD67" s="36">
        <v>21</v>
      </c>
      <c r="AE67" s="36">
        <f>G67*0.944919640333847</f>
        <v>0</v>
      </c>
      <c r="AF67" s="36">
        <f>G67*(1-0.944919640333847)</f>
        <v>0</v>
      </c>
      <c r="AG67" s="31" t="s">
        <v>13</v>
      </c>
      <c r="AM67" s="36">
        <f>F67*AE67</f>
        <v>0</v>
      </c>
      <c r="AN67" s="36">
        <f>F67*AF67</f>
        <v>0</v>
      </c>
      <c r="AO67" s="37" t="s">
        <v>268</v>
      </c>
      <c r="AP67" s="37" t="s">
        <v>277</v>
      </c>
      <c r="AQ67" s="27" t="s">
        <v>284</v>
      </c>
      <c r="AS67" s="36">
        <f>AM67+AN67</f>
        <v>0</v>
      </c>
      <c r="AT67" s="36">
        <f>G67/(100-AU67)*100</f>
        <v>0</v>
      </c>
      <c r="AU67" s="36">
        <v>0</v>
      </c>
      <c r="AV67" s="36">
        <f>L67</f>
        <v>0.03256</v>
      </c>
    </row>
    <row r="68" spans="1:48" ht="12.75">
      <c r="A68" s="5" t="s">
        <v>50</v>
      </c>
      <c r="B68" s="5" t="s">
        <v>73</v>
      </c>
      <c r="C68" s="5" t="s">
        <v>126</v>
      </c>
      <c r="D68" s="5" t="s">
        <v>199</v>
      </c>
      <c r="E68" s="5" t="s">
        <v>229</v>
      </c>
      <c r="F68" s="18">
        <v>1</v>
      </c>
      <c r="G68" s="18">
        <v>0</v>
      </c>
      <c r="H68" s="18">
        <f>F68*AE68</f>
        <v>0</v>
      </c>
      <c r="I68" s="18">
        <f>J68-H68</f>
        <v>0</v>
      </c>
      <c r="J68" s="18">
        <f>F68*G68</f>
        <v>0</v>
      </c>
      <c r="K68" s="18">
        <v>0</v>
      </c>
      <c r="L68" s="18">
        <f>F68*K68</f>
        <v>0</v>
      </c>
      <c r="M68" s="31" t="s">
        <v>250</v>
      </c>
      <c r="P68" s="36">
        <f>IF(AG68="5",J68,0)</f>
        <v>0</v>
      </c>
      <c r="R68" s="36">
        <f>IF(AG68="1",H68,0)</f>
        <v>0</v>
      </c>
      <c r="S68" s="36">
        <f>IF(AG68="1",I68,0)</f>
        <v>0</v>
      </c>
      <c r="T68" s="36">
        <f>IF(AG68="7",H68,0)</f>
        <v>0</v>
      </c>
      <c r="U68" s="36">
        <f>IF(AG68="7",I68,0)</f>
        <v>0</v>
      </c>
      <c r="V68" s="36">
        <f>IF(AG68="2",H68,0)</f>
        <v>0</v>
      </c>
      <c r="W68" s="36">
        <f>IF(AG68="2",I68,0)</f>
        <v>0</v>
      </c>
      <c r="X68" s="36">
        <f>IF(AG68="0",J68,0)</f>
        <v>0</v>
      </c>
      <c r="Y68" s="27" t="s">
        <v>73</v>
      </c>
      <c r="Z68" s="18">
        <f>IF(AD68=0,J68,0)</f>
        <v>0</v>
      </c>
      <c r="AA68" s="18">
        <f>IF(AD68=15,J68,0)</f>
        <v>0</v>
      </c>
      <c r="AB68" s="18">
        <f>IF(AD68=21,J68,0)</f>
        <v>0</v>
      </c>
      <c r="AD68" s="36">
        <v>21</v>
      </c>
      <c r="AE68" s="36">
        <f>G68*0</f>
        <v>0</v>
      </c>
      <c r="AF68" s="36">
        <f>G68*(1-0)</f>
        <v>0</v>
      </c>
      <c r="AG68" s="31" t="s">
        <v>13</v>
      </c>
      <c r="AM68" s="36">
        <f>F68*AE68</f>
        <v>0</v>
      </c>
      <c r="AN68" s="36">
        <f>F68*AF68</f>
        <v>0</v>
      </c>
      <c r="AO68" s="37" t="s">
        <v>268</v>
      </c>
      <c r="AP68" s="37" t="s">
        <v>277</v>
      </c>
      <c r="AQ68" s="27" t="s">
        <v>284</v>
      </c>
      <c r="AS68" s="36">
        <f>AM68+AN68</f>
        <v>0</v>
      </c>
      <c r="AT68" s="36">
        <f>G68/(100-AU68)*100</f>
        <v>0</v>
      </c>
      <c r="AU68" s="36">
        <v>0</v>
      </c>
      <c r="AV68" s="36">
        <f>L68</f>
        <v>0</v>
      </c>
    </row>
    <row r="69" spans="1:48" ht="12.75">
      <c r="A69" s="5" t="s">
        <v>51</v>
      </c>
      <c r="B69" s="5" t="s">
        <v>73</v>
      </c>
      <c r="C69" s="5" t="s">
        <v>127</v>
      </c>
      <c r="D69" s="5" t="s">
        <v>200</v>
      </c>
      <c r="E69" s="5" t="s">
        <v>229</v>
      </c>
      <c r="F69" s="18">
        <v>1</v>
      </c>
      <c r="G69" s="18">
        <v>0</v>
      </c>
      <c r="H69" s="18">
        <f>F69*AE69</f>
        <v>0</v>
      </c>
      <c r="I69" s="18">
        <f>J69-H69</f>
        <v>0</v>
      </c>
      <c r="J69" s="18">
        <f>F69*G69</f>
        <v>0</v>
      </c>
      <c r="K69" s="18">
        <v>0.02501</v>
      </c>
      <c r="L69" s="18">
        <f>F69*K69</f>
        <v>0.02501</v>
      </c>
      <c r="M69" s="31" t="s">
        <v>250</v>
      </c>
      <c r="P69" s="36">
        <f>IF(AG69="5",J69,0)</f>
        <v>0</v>
      </c>
      <c r="R69" s="36">
        <f>IF(AG69="1",H69,0)</f>
        <v>0</v>
      </c>
      <c r="S69" s="36">
        <f>IF(AG69="1",I69,0)</f>
        <v>0</v>
      </c>
      <c r="T69" s="36">
        <f>IF(AG69="7",H69,0)</f>
        <v>0</v>
      </c>
      <c r="U69" s="36">
        <f>IF(AG69="7",I69,0)</f>
        <v>0</v>
      </c>
      <c r="V69" s="36">
        <f>IF(AG69="2",H69,0)</f>
        <v>0</v>
      </c>
      <c r="W69" s="36">
        <f>IF(AG69="2",I69,0)</f>
        <v>0</v>
      </c>
      <c r="X69" s="36">
        <f>IF(AG69="0",J69,0)</f>
        <v>0</v>
      </c>
      <c r="Y69" s="27" t="s">
        <v>73</v>
      </c>
      <c r="Z69" s="18">
        <f>IF(AD69=0,J69,0)</f>
        <v>0</v>
      </c>
      <c r="AA69" s="18">
        <f>IF(AD69=15,J69,0)</f>
        <v>0</v>
      </c>
      <c r="AB69" s="18">
        <f>IF(AD69=21,J69,0)</f>
        <v>0</v>
      </c>
      <c r="AD69" s="36">
        <v>21</v>
      </c>
      <c r="AE69" s="36">
        <f>G69*0.136173913043478</f>
        <v>0</v>
      </c>
      <c r="AF69" s="36">
        <f>G69*(1-0.136173913043478)</f>
        <v>0</v>
      </c>
      <c r="AG69" s="31" t="s">
        <v>13</v>
      </c>
      <c r="AM69" s="36">
        <f>F69*AE69</f>
        <v>0</v>
      </c>
      <c r="AN69" s="36">
        <f>F69*AF69</f>
        <v>0</v>
      </c>
      <c r="AO69" s="37" t="s">
        <v>268</v>
      </c>
      <c r="AP69" s="37" t="s">
        <v>277</v>
      </c>
      <c r="AQ69" s="27" t="s">
        <v>284</v>
      </c>
      <c r="AS69" s="36">
        <f>AM69+AN69</f>
        <v>0</v>
      </c>
      <c r="AT69" s="36">
        <f>G69/(100-AU69)*100</f>
        <v>0</v>
      </c>
      <c r="AU69" s="36">
        <v>0</v>
      </c>
      <c r="AV69" s="36">
        <f>L69</f>
        <v>0.02501</v>
      </c>
    </row>
    <row r="70" spans="1:37" ht="12.75">
      <c r="A70" s="4"/>
      <c r="B70" s="14" t="s">
        <v>73</v>
      </c>
      <c r="C70" s="14" t="s">
        <v>128</v>
      </c>
      <c r="D70" s="14" t="s">
        <v>201</v>
      </c>
      <c r="E70" s="4" t="s">
        <v>6</v>
      </c>
      <c r="F70" s="4" t="s">
        <v>6</v>
      </c>
      <c r="G70" s="4" t="s">
        <v>6</v>
      </c>
      <c r="H70" s="39">
        <f>SUM(H71:H71)</f>
        <v>0</v>
      </c>
      <c r="I70" s="39">
        <f>SUM(I71:I71)</f>
        <v>0</v>
      </c>
      <c r="J70" s="39">
        <f>H70+I70</f>
        <v>0</v>
      </c>
      <c r="K70" s="27"/>
      <c r="L70" s="39">
        <f>SUM(L71:L71)</f>
        <v>0.00045000000000000004</v>
      </c>
      <c r="M70" s="27"/>
      <c r="Y70" s="27" t="s">
        <v>73</v>
      </c>
      <c r="AI70" s="39">
        <f>SUM(Z71:Z71)</f>
        <v>0</v>
      </c>
      <c r="AJ70" s="39">
        <f>SUM(AA71:AA71)</f>
        <v>0</v>
      </c>
      <c r="AK70" s="39">
        <f>SUM(AB71:AB71)</f>
        <v>0</v>
      </c>
    </row>
    <row r="71" spans="1:48" ht="12.75">
      <c r="A71" s="5" t="s">
        <v>52</v>
      </c>
      <c r="B71" s="5" t="s">
        <v>73</v>
      </c>
      <c r="C71" s="5" t="s">
        <v>129</v>
      </c>
      <c r="D71" s="5" t="s">
        <v>202</v>
      </c>
      <c r="E71" s="5" t="s">
        <v>227</v>
      </c>
      <c r="F71" s="18">
        <v>5</v>
      </c>
      <c r="G71" s="18">
        <v>0</v>
      </c>
      <c r="H71" s="18">
        <f>F71*AE71</f>
        <v>0</v>
      </c>
      <c r="I71" s="18">
        <f>J71-H71</f>
        <v>0</v>
      </c>
      <c r="J71" s="18">
        <f>F71*G71</f>
        <v>0</v>
      </c>
      <c r="K71" s="18">
        <v>9E-05</v>
      </c>
      <c r="L71" s="18">
        <f>F71*K71</f>
        <v>0.00045000000000000004</v>
      </c>
      <c r="M71" s="31" t="s">
        <v>250</v>
      </c>
      <c r="P71" s="36">
        <f>IF(AG71="5",J71,0)</f>
        <v>0</v>
      </c>
      <c r="R71" s="36">
        <f>IF(AG71="1",H71,0)</f>
        <v>0</v>
      </c>
      <c r="S71" s="36">
        <f>IF(AG71="1",I71,0)</f>
        <v>0</v>
      </c>
      <c r="T71" s="36">
        <f>IF(AG71="7",H71,0)</f>
        <v>0</v>
      </c>
      <c r="U71" s="36">
        <f>IF(AG71="7",I71,0)</f>
        <v>0</v>
      </c>
      <c r="V71" s="36">
        <f>IF(AG71="2",H71,0)</f>
        <v>0</v>
      </c>
      <c r="W71" s="36">
        <f>IF(AG71="2",I71,0)</f>
        <v>0</v>
      </c>
      <c r="X71" s="36">
        <f>IF(AG71="0",J71,0)</f>
        <v>0</v>
      </c>
      <c r="Y71" s="27" t="s">
        <v>73</v>
      </c>
      <c r="Z71" s="18">
        <f>IF(AD71=0,J71,0)</f>
        <v>0</v>
      </c>
      <c r="AA71" s="18">
        <f>IF(AD71=15,J71,0)</f>
        <v>0</v>
      </c>
      <c r="AB71" s="18">
        <f>IF(AD71=21,J71,0)</f>
        <v>0</v>
      </c>
      <c r="AD71" s="36">
        <v>21</v>
      </c>
      <c r="AE71" s="36">
        <f>G71*0.220853858784893</f>
        <v>0</v>
      </c>
      <c r="AF71" s="36">
        <f>G71*(1-0.220853858784893)</f>
        <v>0</v>
      </c>
      <c r="AG71" s="31" t="s">
        <v>13</v>
      </c>
      <c r="AM71" s="36">
        <f>F71*AE71</f>
        <v>0</v>
      </c>
      <c r="AN71" s="36">
        <f>F71*AF71</f>
        <v>0</v>
      </c>
      <c r="AO71" s="37" t="s">
        <v>269</v>
      </c>
      <c r="AP71" s="37" t="s">
        <v>278</v>
      </c>
      <c r="AQ71" s="27" t="s">
        <v>284</v>
      </c>
      <c r="AS71" s="36">
        <f>AM71+AN71</f>
        <v>0</v>
      </c>
      <c r="AT71" s="36">
        <f>G71/(100-AU71)*100</f>
        <v>0</v>
      </c>
      <c r="AU71" s="36">
        <v>0</v>
      </c>
      <c r="AV71" s="36">
        <f>L71</f>
        <v>0.00045000000000000004</v>
      </c>
    </row>
    <row r="72" spans="1:37" ht="12.75">
      <c r="A72" s="4"/>
      <c r="B72" s="14" t="s">
        <v>73</v>
      </c>
      <c r="C72" s="14" t="s">
        <v>86</v>
      </c>
      <c r="D72" s="14" t="s">
        <v>157</v>
      </c>
      <c r="E72" s="4" t="s">
        <v>6</v>
      </c>
      <c r="F72" s="4" t="s">
        <v>6</v>
      </c>
      <c r="G72" s="4" t="s">
        <v>6</v>
      </c>
      <c r="H72" s="39">
        <f>SUM(H73:H75)</f>
        <v>0</v>
      </c>
      <c r="I72" s="39">
        <f>SUM(I73:I75)</f>
        <v>0</v>
      </c>
      <c r="J72" s="39">
        <f>H72+I72</f>
        <v>0</v>
      </c>
      <c r="K72" s="27"/>
      <c r="L72" s="39">
        <f>SUM(L73:L75)</f>
        <v>0</v>
      </c>
      <c r="M72" s="27"/>
      <c r="Y72" s="27" t="s">
        <v>73</v>
      </c>
      <c r="AI72" s="39">
        <f>SUM(Z73:Z75)</f>
        <v>0</v>
      </c>
      <c r="AJ72" s="39">
        <f>SUM(AA73:AA75)</f>
        <v>0</v>
      </c>
      <c r="AK72" s="39">
        <f>SUM(AB73:AB75)</f>
        <v>0</v>
      </c>
    </row>
    <row r="73" spans="1:48" ht="12.75">
      <c r="A73" s="5" t="s">
        <v>53</v>
      </c>
      <c r="B73" s="5" t="s">
        <v>73</v>
      </c>
      <c r="C73" s="5" t="s">
        <v>87</v>
      </c>
      <c r="D73" s="5" t="s">
        <v>203</v>
      </c>
      <c r="E73" s="5" t="s">
        <v>230</v>
      </c>
      <c r="F73" s="18">
        <v>16</v>
      </c>
      <c r="G73" s="18">
        <v>0</v>
      </c>
      <c r="H73" s="18">
        <f>F73*AE73</f>
        <v>0</v>
      </c>
      <c r="I73" s="18">
        <f>J73-H73</f>
        <v>0</v>
      </c>
      <c r="J73" s="18">
        <f>F73*G73</f>
        <v>0</v>
      </c>
      <c r="K73" s="18">
        <v>0</v>
      </c>
      <c r="L73" s="18">
        <f>F73*K73</f>
        <v>0</v>
      </c>
      <c r="M73" s="31" t="s">
        <v>250</v>
      </c>
      <c r="P73" s="36">
        <f>IF(AG73="5",J73,0)</f>
        <v>0</v>
      </c>
      <c r="R73" s="36">
        <f>IF(AG73="1",H73,0)</f>
        <v>0</v>
      </c>
      <c r="S73" s="36">
        <f>IF(AG73="1",I73,0)</f>
        <v>0</v>
      </c>
      <c r="T73" s="36">
        <f>IF(AG73="7",H73,0)</f>
        <v>0</v>
      </c>
      <c r="U73" s="36">
        <f>IF(AG73="7",I73,0)</f>
        <v>0</v>
      </c>
      <c r="V73" s="36">
        <f>IF(AG73="2",H73,0)</f>
        <v>0</v>
      </c>
      <c r="W73" s="36">
        <f>IF(AG73="2",I73,0)</f>
        <v>0</v>
      </c>
      <c r="X73" s="36">
        <f>IF(AG73="0",J73,0)</f>
        <v>0</v>
      </c>
      <c r="Y73" s="27" t="s">
        <v>73</v>
      </c>
      <c r="Z73" s="18">
        <f>IF(AD73=0,J73,0)</f>
        <v>0</v>
      </c>
      <c r="AA73" s="18">
        <f>IF(AD73=15,J73,0)</f>
        <v>0</v>
      </c>
      <c r="AB73" s="18">
        <f>IF(AD73=21,J73,0)</f>
        <v>0</v>
      </c>
      <c r="AD73" s="36">
        <v>21</v>
      </c>
      <c r="AE73" s="36">
        <f>G73*0</f>
        <v>0</v>
      </c>
      <c r="AF73" s="36">
        <f>G73*(1-0)</f>
        <v>0</v>
      </c>
      <c r="AG73" s="31" t="s">
        <v>7</v>
      </c>
      <c r="AM73" s="36">
        <f>F73*AE73</f>
        <v>0</v>
      </c>
      <c r="AN73" s="36">
        <f>F73*AF73</f>
        <v>0</v>
      </c>
      <c r="AO73" s="37" t="s">
        <v>265</v>
      </c>
      <c r="AP73" s="37" t="s">
        <v>279</v>
      </c>
      <c r="AQ73" s="27" t="s">
        <v>284</v>
      </c>
      <c r="AS73" s="36">
        <f>AM73+AN73</f>
        <v>0</v>
      </c>
      <c r="AT73" s="36">
        <f>G73/(100-AU73)*100</f>
        <v>0</v>
      </c>
      <c r="AU73" s="36">
        <v>0</v>
      </c>
      <c r="AV73" s="36">
        <f>L73</f>
        <v>0</v>
      </c>
    </row>
    <row r="74" spans="1:48" ht="12.75">
      <c r="A74" s="5" t="s">
        <v>54</v>
      </c>
      <c r="B74" s="5" t="s">
        <v>73</v>
      </c>
      <c r="C74" s="5" t="s">
        <v>87</v>
      </c>
      <c r="D74" s="5" t="s">
        <v>204</v>
      </c>
      <c r="E74" s="5" t="s">
        <v>230</v>
      </c>
      <c r="F74" s="18">
        <v>10</v>
      </c>
      <c r="G74" s="18">
        <v>0</v>
      </c>
      <c r="H74" s="18">
        <f>F74*AE74</f>
        <v>0</v>
      </c>
      <c r="I74" s="18">
        <f>J74-H74</f>
        <v>0</v>
      </c>
      <c r="J74" s="18">
        <f>F74*G74</f>
        <v>0</v>
      </c>
      <c r="K74" s="18">
        <v>0</v>
      </c>
      <c r="L74" s="18">
        <f>F74*K74</f>
        <v>0</v>
      </c>
      <c r="M74" s="31" t="s">
        <v>250</v>
      </c>
      <c r="P74" s="36">
        <f>IF(AG74="5",J74,0)</f>
        <v>0</v>
      </c>
      <c r="R74" s="36">
        <f>IF(AG74="1",H74,0)</f>
        <v>0</v>
      </c>
      <c r="S74" s="36">
        <f>IF(AG74="1",I74,0)</f>
        <v>0</v>
      </c>
      <c r="T74" s="36">
        <f>IF(AG74="7",H74,0)</f>
        <v>0</v>
      </c>
      <c r="U74" s="36">
        <f>IF(AG74="7",I74,0)</f>
        <v>0</v>
      </c>
      <c r="V74" s="36">
        <f>IF(AG74="2",H74,0)</f>
        <v>0</v>
      </c>
      <c r="W74" s="36">
        <f>IF(AG74="2",I74,0)</f>
        <v>0</v>
      </c>
      <c r="X74" s="36">
        <f>IF(AG74="0",J74,0)</f>
        <v>0</v>
      </c>
      <c r="Y74" s="27" t="s">
        <v>73</v>
      </c>
      <c r="Z74" s="18">
        <f>IF(AD74=0,J74,0)</f>
        <v>0</v>
      </c>
      <c r="AA74" s="18">
        <f>IF(AD74=15,J74,0)</f>
        <v>0</v>
      </c>
      <c r="AB74" s="18">
        <f>IF(AD74=21,J74,0)</f>
        <v>0</v>
      </c>
      <c r="AD74" s="36">
        <v>21</v>
      </c>
      <c r="AE74" s="36">
        <f>G74*0</f>
        <v>0</v>
      </c>
      <c r="AF74" s="36">
        <f>G74*(1-0)</f>
        <v>0</v>
      </c>
      <c r="AG74" s="31" t="s">
        <v>7</v>
      </c>
      <c r="AM74" s="36">
        <f>F74*AE74</f>
        <v>0</v>
      </c>
      <c r="AN74" s="36">
        <f>F74*AF74</f>
        <v>0</v>
      </c>
      <c r="AO74" s="37" t="s">
        <v>265</v>
      </c>
      <c r="AP74" s="37" t="s">
        <v>279</v>
      </c>
      <c r="AQ74" s="27" t="s">
        <v>284</v>
      </c>
      <c r="AS74" s="36">
        <f>AM74+AN74</f>
        <v>0</v>
      </c>
      <c r="AT74" s="36">
        <f>G74/(100-AU74)*100</f>
        <v>0</v>
      </c>
      <c r="AU74" s="36">
        <v>0</v>
      </c>
      <c r="AV74" s="36">
        <f>L74</f>
        <v>0</v>
      </c>
    </row>
    <row r="75" spans="1:48" ht="12.75">
      <c r="A75" s="5" t="s">
        <v>55</v>
      </c>
      <c r="B75" s="5" t="s">
        <v>73</v>
      </c>
      <c r="C75" s="5" t="s">
        <v>87</v>
      </c>
      <c r="D75" s="5" t="s">
        <v>205</v>
      </c>
      <c r="E75" s="5" t="s">
        <v>230</v>
      </c>
      <c r="F75" s="18">
        <v>10</v>
      </c>
      <c r="G75" s="18">
        <v>0</v>
      </c>
      <c r="H75" s="18">
        <f>F75*AE75</f>
        <v>0</v>
      </c>
      <c r="I75" s="18">
        <f>J75-H75</f>
        <v>0</v>
      </c>
      <c r="J75" s="18">
        <f>F75*G75</f>
        <v>0</v>
      </c>
      <c r="K75" s="18">
        <v>0</v>
      </c>
      <c r="L75" s="18">
        <f>F75*K75</f>
        <v>0</v>
      </c>
      <c r="M75" s="31" t="s">
        <v>250</v>
      </c>
      <c r="P75" s="36">
        <f>IF(AG75="5",J75,0)</f>
        <v>0</v>
      </c>
      <c r="R75" s="36">
        <f>IF(AG75="1",H75,0)</f>
        <v>0</v>
      </c>
      <c r="S75" s="36">
        <f>IF(AG75="1",I75,0)</f>
        <v>0</v>
      </c>
      <c r="T75" s="36">
        <f>IF(AG75="7",H75,0)</f>
        <v>0</v>
      </c>
      <c r="U75" s="36">
        <f>IF(AG75="7",I75,0)</f>
        <v>0</v>
      </c>
      <c r="V75" s="36">
        <f>IF(AG75="2",H75,0)</f>
        <v>0</v>
      </c>
      <c r="W75" s="36">
        <f>IF(AG75="2",I75,0)</f>
        <v>0</v>
      </c>
      <c r="X75" s="36">
        <f>IF(AG75="0",J75,0)</f>
        <v>0</v>
      </c>
      <c r="Y75" s="27" t="s">
        <v>73</v>
      </c>
      <c r="Z75" s="18">
        <f>IF(AD75=0,J75,0)</f>
        <v>0</v>
      </c>
      <c r="AA75" s="18">
        <f>IF(AD75=15,J75,0)</f>
        <v>0</v>
      </c>
      <c r="AB75" s="18">
        <f>IF(AD75=21,J75,0)</f>
        <v>0</v>
      </c>
      <c r="AD75" s="36">
        <v>21</v>
      </c>
      <c r="AE75" s="36">
        <f>G75*0</f>
        <v>0</v>
      </c>
      <c r="AF75" s="36">
        <f>G75*(1-0)</f>
        <v>0</v>
      </c>
      <c r="AG75" s="31" t="s">
        <v>7</v>
      </c>
      <c r="AM75" s="36">
        <f>F75*AE75</f>
        <v>0</v>
      </c>
      <c r="AN75" s="36">
        <f>F75*AF75</f>
        <v>0</v>
      </c>
      <c r="AO75" s="37" t="s">
        <v>265</v>
      </c>
      <c r="AP75" s="37" t="s">
        <v>279</v>
      </c>
      <c r="AQ75" s="27" t="s">
        <v>284</v>
      </c>
      <c r="AS75" s="36">
        <f>AM75+AN75</f>
        <v>0</v>
      </c>
      <c r="AT75" s="36">
        <f>G75/(100-AU75)*100</f>
        <v>0</v>
      </c>
      <c r="AU75" s="36">
        <v>0</v>
      </c>
      <c r="AV75" s="36">
        <f>L75</f>
        <v>0</v>
      </c>
    </row>
    <row r="76" spans="1:37" ht="12.75">
      <c r="A76" s="4"/>
      <c r="B76" s="14" t="s">
        <v>73</v>
      </c>
      <c r="C76" s="14" t="s">
        <v>130</v>
      </c>
      <c r="D76" s="14" t="s">
        <v>195</v>
      </c>
      <c r="E76" s="4" t="s">
        <v>6</v>
      </c>
      <c r="F76" s="4" t="s">
        <v>6</v>
      </c>
      <c r="G76" s="4" t="s">
        <v>6</v>
      </c>
      <c r="H76" s="39">
        <f>SUM(H77:H77)</f>
        <v>0</v>
      </c>
      <c r="I76" s="39">
        <f>SUM(I77:I77)</f>
        <v>0</v>
      </c>
      <c r="J76" s="39">
        <f>H76+I76</f>
        <v>0</v>
      </c>
      <c r="K76" s="27"/>
      <c r="L76" s="39">
        <f>SUM(L77:L77)</f>
        <v>0</v>
      </c>
      <c r="M76" s="27"/>
      <c r="Y76" s="27" t="s">
        <v>73</v>
      </c>
      <c r="AI76" s="39">
        <f>SUM(Z77:Z77)</f>
        <v>0</v>
      </c>
      <c r="AJ76" s="39">
        <f>SUM(AA77:AA77)</f>
        <v>0</v>
      </c>
      <c r="AK76" s="39">
        <f>SUM(AB77:AB77)</f>
        <v>0</v>
      </c>
    </row>
    <row r="77" spans="1:48" ht="12.75">
      <c r="A77" s="5" t="s">
        <v>56</v>
      </c>
      <c r="B77" s="5" t="s">
        <v>73</v>
      </c>
      <c r="C77" s="5" t="s">
        <v>131</v>
      </c>
      <c r="D77" s="5" t="s">
        <v>206</v>
      </c>
      <c r="E77" s="5" t="s">
        <v>231</v>
      </c>
      <c r="F77" s="18">
        <v>0</v>
      </c>
      <c r="G77" s="18">
        <v>2.89</v>
      </c>
      <c r="H77" s="18">
        <f>F77*AE77</f>
        <v>0</v>
      </c>
      <c r="I77" s="18">
        <f>J77-H77</f>
        <v>0</v>
      </c>
      <c r="J77" s="18">
        <f>F77*G77</f>
        <v>0</v>
      </c>
      <c r="K77" s="18">
        <v>0</v>
      </c>
      <c r="L77" s="18">
        <f>F77*K77</f>
        <v>0</v>
      </c>
      <c r="M77" s="31" t="s">
        <v>250</v>
      </c>
      <c r="P77" s="36">
        <f>IF(AG77="5",J77,0)</f>
        <v>0</v>
      </c>
      <c r="R77" s="36">
        <f>IF(AG77="1",H77,0)</f>
        <v>0</v>
      </c>
      <c r="S77" s="36">
        <f>IF(AG77="1",I77,0)</f>
        <v>0</v>
      </c>
      <c r="T77" s="36">
        <f>IF(AG77="7",H77,0)</f>
        <v>0</v>
      </c>
      <c r="U77" s="36">
        <f>IF(AG77="7",I77,0)</f>
        <v>0</v>
      </c>
      <c r="V77" s="36">
        <f>IF(AG77="2",H77,0)</f>
        <v>0</v>
      </c>
      <c r="W77" s="36">
        <f>IF(AG77="2",I77,0)</f>
        <v>0</v>
      </c>
      <c r="X77" s="36">
        <f>IF(AG77="0",J77,0)</f>
        <v>0</v>
      </c>
      <c r="Y77" s="27" t="s">
        <v>73</v>
      </c>
      <c r="Z77" s="18">
        <f>IF(AD77=0,J77,0)</f>
        <v>0</v>
      </c>
      <c r="AA77" s="18">
        <f>IF(AD77=15,J77,0)</f>
        <v>0</v>
      </c>
      <c r="AB77" s="18">
        <f>IF(AD77=21,J77,0)</f>
        <v>0</v>
      </c>
      <c r="AD77" s="36">
        <v>21</v>
      </c>
      <c r="AE77" s="36">
        <f>G77*0</f>
        <v>0</v>
      </c>
      <c r="AF77" s="36">
        <f>G77*(1-0)</f>
        <v>2.89</v>
      </c>
      <c r="AG77" s="31" t="s">
        <v>11</v>
      </c>
      <c r="AM77" s="36">
        <f>F77*AE77</f>
        <v>0</v>
      </c>
      <c r="AN77" s="36">
        <f>F77*AF77</f>
        <v>0</v>
      </c>
      <c r="AO77" s="37" t="s">
        <v>270</v>
      </c>
      <c r="AP77" s="37" t="s">
        <v>279</v>
      </c>
      <c r="AQ77" s="27" t="s">
        <v>284</v>
      </c>
      <c r="AS77" s="36">
        <f>AM77+AN77</f>
        <v>0</v>
      </c>
      <c r="AT77" s="36">
        <f>G77/(100-AU77)*100</f>
        <v>2.89</v>
      </c>
      <c r="AU77" s="36">
        <v>0</v>
      </c>
      <c r="AV77" s="36">
        <f>L77</f>
        <v>0</v>
      </c>
    </row>
    <row r="78" spans="1:37" ht="12.75">
      <c r="A78" s="4"/>
      <c r="B78" s="14" t="s">
        <v>73</v>
      </c>
      <c r="C78" s="14"/>
      <c r="D78" s="14" t="s">
        <v>161</v>
      </c>
      <c r="E78" s="4" t="s">
        <v>6</v>
      </c>
      <c r="F78" s="4" t="s">
        <v>6</v>
      </c>
      <c r="G78" s="4" t="s">
        <v>6</v>
      </c>
      <c r="H78" s="39">
        <f>SUM(H79:H87)</f>
        <v>0</v>
      </c>
      <c r="I78" s="39">
        <f>SUM(I79:I87)</f>
        <v>0</v>
      </c>
      <c r="J78" s="39">
        <f>H78+I78</f>
        <v>0</v>
      </c>
      <c r="K78" s="27"/>
      <c r="L78" s="39">
        <f>SUM(L79:L87)</f>
        <v>0.0008100000000000001</v>
      </c>
      <c r="M78" s="27"/>
      <c r="Y78" s="27" t="s">
        <v>73</v>
      </c>
      <c r="AI78" s="39">
        <f>SUM(Z79:Z87)</f>
        <v>0</v>
      </c>
      <c r="AJ78" s="39">
        <f>SUM(AA79:AA87)</f>
        <v>0</v>
      </c>
      <c r="AK78" s="39">
        <f>SUM(AB79:AB87)</f>
        <v>0</v>
      </c>
    </row>
    <row r="79" spans="1:48" ht="25.5">
      <c r="A79" s="6" t="s">
        <v>57</v>
      </c>
      <c r="B79" s="6" t="s">
        <v>73</v>
      </c>
      <c r="C79" s="6" t="s">
        <v>132</v>
      </c>
      <c r="D79" s="60" t="s">
        <v>207</v>
      </c>
      <c r="E79" s="6" t="s">
        <v>229</v>
      </c>
      <c r="F79" s="19">
        <v>3</v>
      </c>
      <c r="G79" s="18">
        <v>0</v>
      </c>
      <c r="H79" s="19">
        <f aca="true" t="shared" si="40" ref="H79:H87">F79*AE79</f>
        <v>0</v>
      </c>
      <c r="I79" s="19">
        <f aca="true" t="shared" si="41" ref="I79:I87">J79-H79</f>
        <v>0</v>
      </c>
      <c r="J79" s="19">
        <f aca="true" t="shared" si="42" ref="J79:J87">F79*G79</f>
        <v>0</v>
      </c>
      <c r="K79" s="19">
        <v>0.0002</v>
      </c>
      <c r="L79" s="19">
        <f aca="true" t="shared" si="43" ref="L79:L87">F79*K79</f>
        <v>0.0006000000000000001</v>
      </c>
      <c r="M79" s="32" t="s">
        <v>250</v>
      </c>
      <c r="P79" s="36">
        <f aca="true" t="shared" si="44" ref="P79:P87">IF(AG79="5",J79,0)</f>
        <v>0</v>
      </c>
      <c r="R79" s="36">
        <f aca="true" t="shared" si="45" ref="R79:R87">IF(AG79="1",H79,0)</f>
        <v>0</v>
      </c>
      <c r="S79" s="36">
        <f aca="true" t="shared" si="46" ref="S79:S87">IF(AG79="1",I79,0)</f>
        <v>0</v>
      </c>
      <c r="T79" s="36">
        <f aca="true" t="shared" si="47" ref="T79:T87">IF(AG79="7",H79,0)</f>
        <v>0</v>
      </c>
      <c r="U79" s="36">
        <f aca="true" t="shared" si="48" ref="U79:U87">IF(AG79="7",I79,0)</f>
        <v>0</v>
      </c>
      <c r="V79" s="36">
        <f aca="true" t="shared" si="49" ref="V79:V87">IF(AG79="2",H79,0)</f>
        <v>0</v>
      </c>
      <c r="W79" s="36">
        <f aca="true" t="shared" si="50" ref="W79:W87">IF(AG79="2",I79,0)</f>
        <v>0</v>
      </c>
      <c r="X79" s="36">
        <f aca="true" t="shared" si="51" ref="X79:X87">IF(AG79="0",J79,0)</f>
        <v>0</v>
      </c>
      <c r="Y79" s="27" t="s">
        <v>73</v>
      </c>
      <c r="Z79" s="19">
        <f aca="true" t="shared" si="52" ref="Z79:Z87">IF(AD79=0,J79,0)</f>
        <v>0</v>
      </c>
      <c r="AA79" s="19">
        <f aca="true" t="shared" si="53" ref="AA79:AA87">IF(AD79=15,J79,0)</f>
        <v>0</v>
      </c>
      <c r="AB79" s="19">
        <f aca="true" t="shared" si="54" ref="AB79:AB87">IF(AD79=21,J79,0)</f>
        <v>0</v>
      </c>
      <c r="AD79" s="36">
        <v>21</v>
      </c>
      <c r="AE79" s="36">
        <f aca="true" t="shared" si="55" ref="AE79:AE87">G79*1</f>
        <v>0</v>
      </c>
      <c r="AF79" s="36">
        <f aca="true" t="shared" si="56" ref="AF79:AF87">G79*(1-1)</f>
        <v>0</v>
      </c>
      <c r="AG79" s="32" t="s">
        <v>260</v>
      </c>
      <c r="AM79" s="36">
        <f aca="true" t="shared" si="57" ref="AM79:AM87">F79*AE79</f>
        <v>0</v>
      </c>
      <c r="AN79" s="36">
        <f aca="true" t="shared" si="58" ref="AN79:AN87">F79*AF79</f>
        <v>0</v>
      </c>
      <c r="AO79" s="37" t="s">
        <v>267</v>
      </c>
      <c r="AP79" s="37" t="s">
        <v>280</v>
      </c>
      <c r="AQ79" s="27" t="s">
        <v>284</v>
      </c>
      <c r="AS79" s="36">
        <f aca="true" t="shared" si="59" ref="AS79:AS87">AM79+AN79</f>
        <v>0</v>
      </c>
      <c r="AT79" s="36">
        <f aca="true" t="shared" si="60" ref="AT79:AT87">G79/(100-AU79)*100</f>
        <v>0</v>
      </c>
      <c r="AU79" s="36">
        <v>0</v>
      </c>
      <c r="AV79" s="36">
        <f aca="true" t="shared" si="61" ref="AV79:AV87">L79</f>
        <v>0.0006000000000000001</v>
      </c>
    </row>
    <row r="80" spans="1:48" ht="12.75">
      <c r="A80" s="6" t="s">
        <v>58</v>
      </c>
      <c r="B80" s="6" t="s">
        <v>73</v>
      </c>
      <c r="C80" s="6" t="s">
        <v>133</v>
      </c>
      <c r="D80" s="6" t="s">
        <v>208</v>
      </c>
      <c r="E80" s="6" t="s">
        <v>229</v>
      </c>
      <c r="F80" s="19">
        <v>1</v>
      </c>
      <c r="G80" s="18">
        <v>0</v>
      </c>
      <c r="H80" s="19">
        <f t="shared" si="40"/>
        <v>0</v>
      </c>
      <c r="I80" s="19">
        <f t="shared" si="41"/>
        <v>0</v>
      </c>
      <c r="J80" s="19">
        <f t="shared" si="42"/>
        <v>0</v>
      </c>
      <c r="K80" s="19">
        <v>0.00021</v>
      </c>
      <c r="L80" s="19">
        <f t="shared" si="43"/>
        <v>0.00021</v>
      </c>
      <c r="M80" s="32" t="s">
        <v>250</v>
      </c>
      <c r="P80" s="36">
        <f t="shared" si="44"/>
        <v>0</v>
      </c>
      <c r="R80" s="36">
        <f t="shared" si="45"/>
        <v>0</v>
      </c>
      <c r="S80" s="36">
        <f t="shared" si="46"/>
        <v>0</v>
      </c>
      <c r="T80" s="36">
        <f t="shared" si="47"/>
        <v>0</v>
      </c>
      <c r="U80" s="36">
        <f t="shared" si="48"/>
        <v>0</v>
      </c>
      <c r="V80" s="36">
        <f t="shared" si="49"/>
        <v>0</v>
      </c>
      <c r="W80" s="36">
        <f t="shared" si="50"/>
        <v>0</v>
      </c>
      <c r="X80" s="36">
        <f t="shared" si="51"/>
        <v>0</v>
      </c>
      <c r="Y80" s="27" t="s">
        <v>73</v>
      </c>
      <c r="Z80" s="19">
        <f t="shared" si="52"/>
        <v>0</v>
      </c>
      <c r="AA80" s="19">
        <f t="shared" si="53"/>
        <v>0</v>
      </c>
      <c r="AB80" s="19">
        <f t="shared" si="54"/>
        <v>0</v>
      </c>
      <c r="AD80" s="36">
        <v>21</v>
      </c>
      <c r="AE80" s="36">
        <f t="shared" si="55"/>
        <v>0</v>
      </c>
      <c r="AF80" s="36">
        <f t="shared" si="56"/>
        <v>0</v>
      </c>
      <c r="AG80" s="32" t="s">
        <v>260</v>
      </c>
      <c r="AM80" s="36">
        <f t="shared" si="57"/>
        <v>0</v>
      </c>
      <c r="AN80" s="36">
        <f t="shared" si="58"/>
        <v>0</v>
      </c>
      <c r="AO80" s="37" t="s">
        <v>267</v>
      </c>
      <c r="AP80" s="37" t="s">
        <v>280</v>
      </c>
      <c r="AQ80" s="27" t="s">
        <v>284</v>
      </c>
      <c r="AS80" s="36">
        <f t="shared" si="59"/>
        <v>0</v>
      </c>
      <c r="AT80" s="36">
        <f t="shared" si="60"/>
        <v>0</v>
      </c>
      <c r="AU80" s="36">
        <v>0</v>
      </c>
      <c r="AV80" s="36">
        <f t="shared" si="61"/>
        <v>0.00021</v>
      </c>
    </row>
    <row r="81" spans="1:48" ht="12.75">
      <c r="A81" s="6" t="s">
        <v>59</v>
      </c>
      <c r="B81" s="6" t="s">
        <v>73</v>
      </c>
      <c r="C81" s="6" t="s">
        <v>91</v>
      </c>
      <c r="D81" s="6" t="s">
        <v>209</v>
      </c>
      <c r="E81" s="6" t="s">
        <v>229</v>
      </c>
      <c r="F81" s="19">
        <v>1</v>
      </c>
      <c r="G81" s="18">
        <v>0</v>
      </c>
      <c r="H81" s="19">
        <f t="shared" si="40"/>
        <v>0</v>
      </c>
      <c r="I81" s="19">
        <f t="shared" si="41"/>
        <v>0</v>
      </c>
      <c r="J81" s="19">
        <f t="shared" si="42"/>
        <v>0</v>
      </c>
      <c r="K81" s="19">
        <v>0</v>
      </c>
      <c r="L81" s="19">
        <f t="shared" si="43"/>
        <v>0</v>
      </c>
      <c r="M81" s="32"/>
      <c r="P81" s="36">
        <f t="shared" si="44"/>
        <v>0</v>
      </c>
      <c r="R81" s="36">
        <f t="shared" si="45"/>
        <v>0</v>
      </c>
      <c r="S81" s="36">
        <f t="shared" si="46"/>
        <v>0</v>
      </c>
      <c r="T81" s="36">
        <f t="shared" si="47"/>
        <v>0</v>
      </c>
      <c r="U81" s="36">
        <f t="shared" si="48"/>
        <v>0</v>
      </c>
      <c r="V81" s="36">
        <f t="shared" si="49"/>
        <v>0</v>
      </c>
      <c r="W81" s="36">
        <f t="shared" si="50"/>
        <v>0</v>
      </c>
      <c r="X81" s="36">
        <f t="shared" si="51"/>
        <v>0</v>
      </c>
      <c r="Y81" s="27" t="s">
        <v>73</v>
      </c>
      <c r="Z81" s="19">
        <f t="shared" si="52"/>
        <v>0</v>
      </c>
      <c r="AA81" s="19">
        <f t="shared" si="53"/>
        <v>0</v>
      </c>
      <c r="AB81" s="19">
        <f t="shared" si="54"/>
        <v>0</v>
      </c>
      <c r="AD81" s="36">
        <v>21</v>
      </c>
      <c r="AE81" s="36">
        <f t="shared" si="55"/>
        <v>0</v>
      </c>
      <c r="AF81" s="36">
        <f t="shared" si="56"/>
        <v>0</v>
      </c>
      <c r="AG81" s="32" t="s">
        <v>260</v>
      </c>
      <c r="AM81" s="36">
        <f t="shared" si="57"/>
        <v>0</v>
      </c>
      <c r="AN81" s="36">
        <f t="shared" si="58"/>
        <v>0</v>
      </c>
      <c r="AO81" s="37" t="s">
        <v>267</v>
      </c>
      <c r="AP81" s="37" t="s">
        <v>280</v>
      </c>
      <c r="AQ81" s="27" t="s">
        <v>284</v>
      </c>
      <c r="AS81" s="36">
        <f t="shared" si="59"/>
        <v>0</v>
      </c>
      <c r="AT81" s="36">
        <f t="shared" si="60"/>
        <v>0</v>
      </c>
      <c r="AU81" s="36">
        <v>0</v>
      </c>
      <c r="AV81" s="36">
        <f t="shared" si="61"/>
        <v>0</v>
      </c>
    </row>
    <row r="82" spans="1:48" ht="25.5">
      <c r="A82" s="6" t="s">
        <v>60</v>
      </c>
      <c r="B82" s="6" t="s">
        <v>73</v>
      </c>
      <c r="C82" s="6" t="s">
        <v>91</v>
      </c>
      <c r="D82" s="60" t="s">
        <v>210</v>
      </c>
      <c r="E82" s="6" t="s">
        <v>229</v>
      </c>
      <c r="F82" s="19">
        <v>1</v>
      </c>
      <c r="G82" s="18">
        <v>0</v>
      </c>
      <c r="H82" s="19">
        <f t="shared" si="40"/>
        <v>0</v>
      </c>
      <c r="I82" s="19">
        <f t="shared" si="41"/>
        <v>0</v>
      </c>
      <c r="J82" s="19">
        <f t="shared" si="42"/>
        <v>0</v>
      </c>
      <c r="K82" s="19">
        <v>0</v>
      </c>
      <c r="L82" s="19">
        <f t="shared" si="43"/>
        <v>0</v>
      </c>
      <c r="M82" s="32"/>
      <c r="P82" s="36">
        <f t="shared" si="44"/>
        <v>0</v>
      </c>
      <c r="R82" s="36">
        <f t="shared" si="45"/>
        <v>0</v>
      </c>
      <c r="S82" s="36">
        <f t="shared" si="46"/>
        <v>0</v>
      </c>
      <c r="T82" s="36">
        <f t="shared" si="47"/>
        <v>0</v>
      </c>
      <c r="U82" s="36">
        <f t="shared" si="48"/>
        <v>0</v>
      </c>
      <c r="V82" s="36">
        <f t="shared" si="49"/>
        <v>0</v>
      </c>
      <c r="W82" s="36">
        <f t="shared" si="50"/>
        <v>0</v>
      </c>
      <c r="X82" s="36">
        <f t="shared" si="51"/>
        <v>0</v>
      </c>
      <c r="Y82" s="27" t="s">
        <v>73</v>
      </c>
      <c r="Z82" s="19">
        <f t="shared" si="52"/>
        <v>0</v>
      </c>
      <c r="AA82" s="19">
        <f t="shared" si="53"/>
        <v>0</v>
      </c>
      <c r="AB82" s="19">
        <f t="shared" si="54"/>
        <v>0</v>
      </c>
      <c r="AD82" s="36">
        <v>21</v>
      </c>
      <c r="AE82" s="36">
        <f t="shared" si="55"/>
        <v>0</v>
      </c>
      <c r="AF82" s="36">
        <f t="shared" si="56"/>
        <v>0</v>
      </c>
      <c r="AG82" s="32" t="s">
        <v>260</v>
      </c>
      <c r="AM82" s="36">
        <f t="shared" si="57"/>
        <v>0</v>
      </c>
      <c r="AN82" s="36">
        <f t="shared" si="58"/>
        <v>0</v>
      </c>
      <c r="AO82" s="37" t="s">
        <v>267</v>
      </c>
      <c r="AP82" s="37" t="s">
        <v>280</v>
      </c>
      <c r="AQ82" s="27" t="s">
        <v>284</v>
      </c>
      <c r="AS82" s="36">
        <f t="shared" si="59"/>
        <v>0</v>
      </c>
      <c r="AT82" s="36">
        <f t="shared" si="60"/>
        <v>0</v>
      </c>
      <c r="AU82" s="36">
        <v>0</v>
      </c>
      <c r="AV82" s="36">
        <f t="shared" si="61"/>
        <v>0</v>
      </c>
    </row>
    <row r="83" spans="1:48" ht="12.75">
      <c r="A83" s="6" t="s">
        <v>61</v>
      </c>
      <c r="B83" s="6" t="s">
        <v>73</v>
      </c>
      <c r="C83" s="6" t="s">
        <v>134</v>
      </c>
      <c r="D83" s="6" t="s">
        <v>211</v>
      </c>
      <c r="E83" s="6" t="s">
        <v>227</v>
      </c>
      <c r="F83" s="19">
        <v>8</v>
      </c>
      <c r="G83" s="18">
        <v>0</v>
      </c>
      <c r="H83" s="19">
        <f t="shared" si="40"/>
        <v>0</v>
      </c>
      <c r="I83" s="19">
        <f t="shared" si="41"/>
        <v>0</v>
      </c>
      <c r="J83" s="19">
        <f t="shared" si="42"/>
        <v>0</v>
      </c>
      <c r="K83" s="19">
        <v>0</v>
      </c>
      <c r="L83" s="19">
        <f t="shared" si="43"/>
        <v>0</v>
      </c>
      <c r="M83" s="32"/>
      <c r="P83" s="36">
        <f t="shared" si="44"/>
        <v>0</v>
      </c>
      <c r="R83" s="36">
        <f t="shared" si="45"/>
        <v>0</v>
      </c>
      <c r="S83" s="36">
        <f t="shared" si="46"/>
        <v>0</v>
      </c>
      <c r="T83" s="36">
        <f t="shared" si="47"/>
        <v>0</v>
      </c>
      <c r="U83" s="36">
        <f t="shared" si="48"/>
        <v>0</v>
      </c>
      <c r="V83" s="36">
        <f t="shared" si="49"/>
        <v>0</v>
      </c>
      <c r="W83" s="36">
        <f t="shared" si="50"/>
        <v>0</v>
      </c>
      <c r="X83" s="36">
        <f t="shared" si="51"/>
        <v>0</v>
      </c>
      <c r="Y83" s="27" t="s">
        <v>73</v>
      </c>
      <c r="Z83" s="19">
        <f t="shared" si="52"/>
        <v>0</v>
      </c>
      <c r="AA83" s="19">
        <f t="shared" si="53"/>
        <v>0</v>
      </c>
      <c r="AB83" s="19">
        <f t="shared" si="54"/>
        <v>0</v>
      </c>
      <c r="AD83" s="36">
        <v>21</v>
      </c>
      <c r="AE83" s="36">
        <f t="shared" si="55"/>
        <v>0</v>
      </c>
      <c r="AF83" s="36">
        <f t="shared" si="56"/>
        <v>0</v>
      </c>
      <c r="AG83" s="32" t="s">
        <v>260</v>
      </c>
      <c r="AM83" s="36">
        <f t="shared" si="57"/>
        <v>0</v>
      </c>
      <c r="AN83" s="36">
        <f t="shared" si="58"/>
        <v>0</v>
      </c>
      <c r="AO83" s="37" t="s">
        <v>267</v>
      </c>
      <c r="AP83" s="37" t="s">
        <v>280</v>
      </c>
      <c r="AQ83" s="27" t="s">
        <v>284</v>
      </c>
      <c r="AS83" s="36">
        <f t="shared" si="59"/>
        <v>0</v>
      </c>
      <c r="AT83" s="36">
        <f t="shared" si="60"/>
        <v>0</v>
      </c>
      <c r="AU83" s="36">
        <v>0</v>
      </c>
      <c r="AV83" s="36">
        <f t="shared" si="61"/>
        <v>0</v>
      </c>
    </row>
    <row r="84" spans="1:48" ht="12.75">
      <c r="A84" s="6" t="s">
        <v>62</v>
      </c>
      <c r="B84" s="6" t="s">
        <v>73</v>
      </c>
      <c r="C84" s="6" t="s">
        <v>135</v>
      </c>
      <c r="D84" s="6" t="s">
        <v>212</v>
      </c>
      <c r="E84" s="6" t="s">
        <v>227</v>
      </c>
      <c r="F84" s="19">
        <v>24</v>
      </c>
      <c r="G84" s="18">
        <v>0</v>
      </c>
      <c r="H84" s="19">
        <f t="shared" si="40"/>
        <v>0</v>
      </c>
      <c r="I84" s="19">
        <f t="shared" si="41"/>
        <v>0</v>
      </c>
      <c r="J84" s="19">
        <f t="shared" si="42"/>
        <v>0</v>
      </c>
      <c r="K84" s="19">
        <v>0</v>
      </c>
      <c r="L84" s="19">
        <f t="shared" si="43"/>
        <v>0</v>
      </c>
      <c r="M84" s="32"/>
      <c r="P84" s="36">
        <f t="shared" si="44"/>
        <v>0</v>
      </c>
      <c r="R84" s="36">
        <f t="shared" si="45"/>
        <v>0</v>
      </c>
      <c r="S84" s="36">
        <f t="shared" si="46"/>
        <v>0</v>
      </c>
      <c r="T84" s="36">
        <f t="shared" si="47"/>
        <v>0</v>
      </c>
      <c r="U84" s="36">
        <f t="shared" si="48"/>
        <v>0</v>
      </c>
      <c r="V84" s="36">
        <f t="shared" si="49"/>
        <v>0</v>
      </c>
      <c r="W84" s="36">
        <f t="shared" si="50"/>
        <v>0</v>
      </c>
      <c r="X84" s="36">
        <f t="shared" si="51"/>
        <v>0</v>
      </c>
      <c r="Y84" s="27" t="s">
        <v>73</v>
      </c>
      <c r="Z84" s="19">
        <f t="shared" si="52"/>
        <v>0</v>
      </c>
      <c r="AA84" s="19">
        <f t="shared" si="53"/>
        <v>0</v>
      </c>
      <c r="AB84" s="19">
        <f t="shared" si="54"/>
        <v>0</v>
      </c>
      <c r="AD84" s="36">
        <v>21</v>
      </c>
      <c r="AE84" s="36">
        <f t="shared" si="55"/>
        <v>0</v>
      </c>
      <c r="AF84" s="36">
        <f t="shared" si="56"/>
        <v>0</v>
      </c>
      <c r="AG84" s="32" t="s">
        <v>260</v>
      </c>
      <c r="AM84" s="36">
        <f t="shared" si="57"/>
        <v>0</v>
      </c>
      <c r="AN84" s="36">
        <f t="shared" si="58"/>
        <v>0</v>
      </c>
      <c r="AO84" s="37" t="s">
        <v>267</v>
      </c>
      <c r="AP84" s="37" t="s">
        <v>280</v>
      </c>
      <c r="AQ84" s="27" t="s">
        <v>284</v>
      </c>
      <c r="AS84" s="36">
        <f t="shared" si="59"/>
        <v>0</v>
      </c>
      <c r="AT84" s="36">
        <f t="shared" si="60"/>
        <v>0</v>
      </c>
      <c r="AU84" s="36">
        <v>0</v>
      </c>
      <c r="AV84" s="36">
        <f t="shared" si="61"/>
        <v>0</v>
      </c>
    </row>
    <row r="85" spans="1:48" ht="12.75">
      <c r="A85" s="6" t="s">
        <v>63</v>
      </c>
      <c r="B85" s="6" t="s">
        <v>73</v>
      </c>
      <c r="C85" s="6" t="s">
        <v>136</v>
      </c>
      <c r="D85" s="6" t="s">
        <v>213</v>
      </c>
      <c r="E85" s="6" t="s">
        <v>227</v>
      </c>
      <c r="F85" s="19">
        <v>4</v>
      </c>
      <c r="G85" s="18">
        <v>0</v>
      </c>
      <c r="H85" s="19">
        <f t="shared" si="40"/>
        <v>0</v>
      </c>
      <c r="I85" s="19">
        <f t="shared" si="41"/>
        <v>0</v>
      </c>
      <c r="J85" s="19">
        <f t="shared" si="42"/>
        <v>0</v>
      </c>
      <c r="K85" s="19">
        <v>0</v>
      </c>
      <c r="L85" s="19">
        <f t="shared" si="43"/>
        <v>0</v>
      </c>
      <c r="M85" s="32"/>
      <c r="P85" s="36">
        <f t="shared" si="44"/>
        <v>0</v>
      </c>
      <c r="R85" s="36">
        <f t="shared" si="45"/>
        <v>0</v>
      </c>
      <c r="S85" s="36">
        <f t="shared" si="46"/>
        <v>0</v>
      </c>
      <c r="T85" s="36">
        <f t="shared" si="47"/>
        <v>0</v>
      </c>
      <c r="U85" s="36">
        <f t="shared" si="48"/>
        <v>0</v>
      </c>
      <c r="V85" s="36">
        <f t="shared" si="49"/>
        <v>0</v>
      </c>
      <c r="W85" s="36">
        <f t="shared" si="50"/>
        <v>0</v>
      </c>
      <c r="X85" s="36">
        <f t="shared" si="51"/>
        <v>0</v>
      </c>
      <c r="Y85" s="27" t="s">
        <v>73</v>
      </c>
      <c r="Z85" s="19">
        <f t="shared" si="52"/>
        <v>0</v>
      </c>
      <c r="AA85" s="19">
        <f t="shared" si="53"/>
        <v>0</v>
      </c>
      <c r="AB85" s="19">
        <f t="shared" si="54"/>
        <v>0</v>
      </c>
      <c r="AD85" s="36">
        <v>21</v>
      </c>
      <c r="AE85" s="36">
        <f t="shared" si="55"/>
        <v>0</v>
      </c>
      <c r="AF85" s="36">
        <f t="shared" si="56"/>
        <v>0</v>
      </c>
      <c r="AG85" s="32" t="s">
        <v>260</v>
      </c>
      <c r="AM85" s="36">
        <f t="shared" si="57"/>
        <v>0</v>
      </c>
      <c r="AN85" s="36">
        <f t="shared" si="58"/>
        <v>0</v>
      </c>
      <c r="AO85" s="37" t="s">
        <v>267</v>
      </c>
      <c r="AP85" s="37" t="s">
        <v>280</v>
      </c>
      <c r="AQ85" s="27" t="s">
        <v>284</v>
      </c>
      <c r="AS85" s="36">
        <f t="shared" si="59"/>
        <v>0</v>
      </c>
      <c r="AT85" s="36">
        <f t="shared" si="60"/>
        <v>0</v>
      </c>
      <c r="AU85" s="36">
        <v>0</v>
      </c>
      <c r="AV85" s="36">
        <f t="shared" si="61"/>
        <v>0</v>
      </c>
    </row>
    <row r="86" spans="1:48" ht="12.75">
      <c r="A86" s="6" t="s">
        <v>64</v>
      </c>
      <c r="B86" s="6" t="s">
        <v>73</v>
      </c>
      <c r="C86" s="6" t="s">
        <v>137</v>
      </c>
      <c r="D86" s="6" t="s">
        <v>214</v>
      </c>
      <c r="E86" s="6" t="s">
        <v>227</v>
      </c>
      <c r="F86" s="19">
        <v>4</v>
      </c>
      <c r="G86" s="18">
        <v>0</v>
      </c>
      <c r="H86" s="19">
        <f t="shared" si="40"/>
        <v>0</v>
      </c>
      <c r="I86" s="19">
        <f t="shared" si="41"/>
        <v>0</v>
      </c>
      <c r="J86" s="19">
        <f t="shared" si="42"/>
        <v>0</v>
      </c>
      <c r="K86" s="19">
        <v>0</v>
      </c>
      <c r="L86" s="19">
        <f t="shared" si="43"/>
        <v>0</v>
      </c>
      <c r="M86" s="32"/>
      <c r="P86" s="36">
        <f t="shared" si="44"/>
        <v>0</v>
      </c>
      <c r="R86" s="36">
        <f t="shared" si="45"/>
        <v>0</v>
      </c>
      <c r="S86" s="36">
        <f t="shared" si="46"/>
        <v>0</v>
      </c>
      <c r="T86" s="36">
        <f t="shared" si="47"/>
        <v>0</v>
      </c>
      <c r="U86" s="36">
        <f t="shared" si="48"/>
        <v>0</v>
      </c>
      <c r="V86" s="36">
        <f t="shared" si="49"/>
        <v>0</v>
      </c>
      <c r="W86" s="36">
        <f t="shared" si="50"/>
        <v>0</v>
      </c>
      <c r="X86" s="36">
        <f t="shared" si="51"/>
        <v>0</v>
      </c>
      <c r="Y86" s="27" t="s">
        <v>73</v>
      </c>
      <c r="Z86" s="19">
        <f t="shared" si="52"/>
        <v>0</v>
      </c>
      <c r="AA86" s="19">
        <f t="shared" si="53"/>
        <v>0</v>
      </c>
      <c r="AB86" s="19">
        <f t="shared" si="54"/>
        <v>0</v>
      </c>
      <c r="AD86" s="36">
        <v>21</v>
      </c>
      <c r="AE86" s="36">
        <f t="shared" si="55"/>
        <v>0</v>
      </c>
      <c r="AF86" s="36">
        <f t="shared" si="56"/>
        <v>0</v>
      </c>
      <c r="AG86" s="32" t="s">
        <v>260</v>
      </c>
      <c r="AM86" s="36">
        <f t="shared" si="57"/>
        <v>0</v>
      </c>
      <c r="AN86" s="36">
        <f t="shared" si="58"/>
        <v>0</v>
      </c>
      <c r="AO86" s="37" t="s">
        <v>267</v>
      </c>
      <c r="AP86" s="37" t="s">
        <v>280</v>
      </c>
      <c r="AQ86" s="27" t="s">
        <v>284</v>
      </c>
      <c r="AS86" s="36">
        <f t="shared" si="59"/>
        <v>0</v>
      </c>
      <c r="AT86" s="36">
        <f t="shared" si="60"/>
        <v>0</v>
      </c>
      <c r="AU86" s="36">
        <v>0</v>
      </c>
      <c r="AV86" s="36">
        <f t="shared" si="61"/>
        <v>0</v>
      </c>
    </row>
    <row r="87" spans="1:48" ht="12.75">
      <c r="A87" s="6" t="s">
        <v>65</v>
      </c>
      <c r="B87" s="6" t="s">
        <v>73</v>
      </c>
      <c r="C87" s="6" t="s">
        <v>138</v>
      </c>
      <c r="D87" s="6" t="s">
        <v>215</v>
      </c>
      <c r="E87" s="6" t="s">
        <v>233</v>
      </c>
      <c r="F87" s="19">
        <v>1</v>
      </c>
      <c r="G87" s="18">
        <v>0</v>
      </c>
      <c r="H87" s="19">
        <f t="shared" si="40"/>
        <v>0</v>
      </c>
      <c r="I87" s="19">
        <f t="shared" si="41"/>
        <v>0</v>
      </c>
      <c r="J87" s="19">
        <f t="shared" si="42"/>
        <v>0</v>
      </c>
      <c r="K87" s="19">
        <v>0</v>
      </c>
      <c r="L87" s="19">
        <f t="shared" si="43"/>
        <v>0</v>
      </c>
      <c r="M87" s="32"/>
      <c r="P87" s="36">
        <f t="shared" si="44"/>
        <v>0</v>
      </c>
      <c r="R87" s="36">
        <f t="shared" si="45"/>
        <v>0</v>
      </c>
      <c r="S87" s="36">
        <f t="shared" si="46"/>
        <v>0</v>
      </c>
      <c r="T87" s="36">
        <f t="shared" si="47"/>
        <v>0</v>
      </c>
      <c r="U87" s="36">
        <f t="shared" si="48"/>
        <v>0</v>
      </c>
      <c r="V87" s="36">
        <f t="shared" si="49"/>
        <v>0</v>
      </c>
      <c r="W87" s="36">
        <f t="shared" si="50"/>
        <v>0</v>
      </c>
      <c r="X87" s="36">
        <f t="shared" si="51"/>
        <v>0</v>
      </c>
      <c r="Y87" s="27" t="s">
        <v>73</v>
      </c>
      <c r="Z87" s="19">
        <f t="shared" si="52"/>
        <v>0</v>
      </c>
      <c r="AA87" s="19">
        <f t="shared" si="53"/>
        <v>0</v>
      </c>
      <c r="AB87" s="19">
        <f t="shared" si="54"/>
        <v>0</v>
      </c>
      <c r="AD87" s="36">
        <v>21</v>
      </c>
      <c r="AE87" s="36">
        <f t="shared" si="55"/>
        <v>0</v>
      </c>
      <c r="AF87" s="36">
        <f t="shared" si="56"/>
        <v>0</v>
      </c>
      <c r="AG87" s="32" t="s">
        <v>260</v>
      </c>
      <c r="AM87" s="36">
        <f t="shared" si="57"/>
        <v>0</v>
      </c>
      <c r="AN87" s="36">
        <f t="shared" si="58"/>
        <v>0</v>
      </c>
      <c r="AO87" s="37" t="s">
        <v>267</v>
      </c>
      <c r="AP87" s="37" t="s">
        <v>280</v>
      </c>
      <c r="AQ87" s="27" t="s">
        <v>284</v>
      </c>
      <c r="AS87" s="36">
        <f t="shared" si="59"/>
        <v>0</v>
      </c>
      <c r="AT87" s="36">
        <f t="shared" si="60"/>
        <v>0</v>
      </c>
      <c r="AU87" s="36">
        <v>0</v>
      </c>
      <c r="AV87" s="36">
        <f t="shared" si="61"/>
        <v>0</v>
      </c>
    </row>
    <row r="88" spans="1:13" ht="12.75">
      <c r="A88" s="7"/>
      <c r="B88" s="15" t="s">
        <v>74</v>
      </c>
      <c r="C88" s="15"/>
      <c r="D88" s="15" t="s">
        <v>216</v>
      </c>
      <c r="E88" s="7" t="s">
        <v>6</v>
      </c>
      <c r="F88" s="7" t="s">
        <v>6</v>
      </c>
      <c r="G88" s="7" t="s">
        <v>6</v>
      </c>
      <c r="H88" s="40">
        <f>H89</f>
        <v>0</v>
      </c>
      <c r="I88" s="40">
        <f>I89</f>
        <v>0</v>
      </c>
      <c r="J88" s="40">
        <f>H88+I88</f>
        <v>0</v>
      </c>
      <c r="K88" s="28"/>
      <c r="L88" s="40">
        <f>L89</f>
        <v>0</v>
      </c>
      <c r="M88" s="28"/>
    </row>
    <row r="89" spans="1:37" ht="12.75">
      <c r="A89" s="4"/>
      <c r="B89" s="14" t="s">
        <v>74</v>
      </c>
      <c r="C89" s="14" t="s">
        <v>86</v>
      </c>
      <c r="D89" s="14" t="s">
        <v>157</v>
      </c>
      <c r="E89" s="4" t="s">
        <v>6</v>
      </c>
      <c r="F89" s="4" t="s">
        <v>6</v>
      </c>
      <c r="G89" s="4" t="s">
        <v>6</v>
      </c>
      <c r="H89" s="39">
        <f>SUM(H90:H91)</f>
        <v>0</v>
      </c>
      <c r="I89" s="39">
        <f>SUM(I90:I91)</f>
        <v>0</v>
      </c>
      <c r="J89" s="39">
        <f>H89+I89</f>
        <v>0</v>
      </c>
      <c r="K89" s="27"/>
      <c r="L89" s="39">
        <f>SUM(L90:L91)</f>
        <v>0</v>
      </c>
      <c r="M89" s="27"/>
      <c r="Y89" s="27" t="s">
        <v>74</v>
      </c>
      <c r="AI89" s="39">
        <f>SUM(Z90:Z91)</f>
        <v>0</v>
      </c>
      <c r="AJ89" s="39">
        <f>SUM(AA90:AA91)</f>
        <v>0</v>
      </c>
      <c r="AK89" s="39">
        <f>SUM(AB90:AB91)</f>
        <v>0</v>
      </c>
    </row>
    <row r="90" spans="1:48" ht="25.5">
      <c r="A90" s="5" t="s">
        <v>66</v>
      </c>
      <c r="B90" s="5" t="s">
        <v>74</v>
      </c>
      <c r="C90" s="5" t="s">
        <v>87</v>
      </c>
      <c r="D90" s="59" t="s">
        <v>217</v>
      </c>
      <c r="E90" s="5" t="s">
        <v>230</v>
      </c>
      <c r="F90" s="18">
        <v>8</v>
      </c>
      <c r="G90" s="18">
        <v>0</v>
      </c>
      <c r="H90" s="18">
        <f>F90*AE90</f>
        <v>0</v>
      </c>
      <c r="I90" s="18">
        <f>J90-H90</f>
        <v>0</v>
      </c>
      <c r="J90" s="18">
        <f>F90*G90</f>
        <v>0</v>
      </c>
      <c r="K90" s="18">
        <v>0</v>
      </c>
      <c r="L90" s="18">
        <f>F90*K90</f>
        <v>0</v>
      </c>
      <c r="M90" s="31" t="s">
        <v>250</v>
      </c>
      <c r="P90" s="36">
        <f>IF(AG90="5",J90,0)</f>
        <v>0</v>
      </c>
      <c r="R90" s="36">
        <f>IF(AG90="1",H90,0)</f>
        <v>0</v>
      </c>
      <c r="S90" s="36">
        <f>IF(AG90="1",I90,0)</f>
        <v>0</v>
      </c>
      <c r="T90" s="36">
        <f>IF(AG90="7",H90,0)</f>
        <v>0</v>
      </c>
      <c r="U90" s="36">
        <f>IF(AG90="7",I90,0)</f>
        <v>0</v>
      </c>
      <c r="V90" s="36">
        <f>IF(AG90="2",H90,0)</f>
        <v>0</v>
      </c>
      <c r="W90" s="36">
        <f>IF(AG90="2",I90,0)</f>
        <v>0</v>
      </c>
      <c r="X90" s="36">
        <f>IF(AG90="0",J90,0)</f>
        <v>0</v>
      </c>
      <c r="Y90" s="27" t="s">
        <v>74</v>
      </c>
      <c r="Z90" s="18">
        <f>IF(AD90=0,J90,0)</f>
        <v>0</v>
      </c>
      <c r="AA90" s="18">
        <f>IF(AD90=15,J90,0)</f>
        <v>0</v>
      </c>
      <c r="AB90" s="18">
        <f>IF(AD90=21,J90,0)</f>
        <v>0</v>
      </c>
      <c r="AD90" s="36">
        <v>21</v>
      </c>
      <c r="AE90" s="36">
        <f>G90*0</f>
        <v>0</v>
      </c>
      <c r="AF90" s="36">
        <f>G90*(1-0)</f>
        <v>0</v>
      </c>
      <c r="AG90" s="31" t="s">
        <v>7</v>
      </c>
      <c r="AM90" s="36">
        <f>F90*AE90</f>
        <v>0</v>
      </c>
      <c r="AN90" s="36">
        <f>F90*AF90</f>
        <v>0</v>
      </c>
      <c r="AO90" s="37" t="s">
        <v>265</v>
      </c>
      <c r="AP90" s="37" t="s">
        <v>281</v>
      </c>
      <c r="AQ90" s="27" t="s">
        <v>285</v>
      </c>
      <c r="AS90" s="36">
        <f>AM90+AN90</f>
        <v>0</v>
      </c>
      <c r="AT90" s="36">
        <f>G90/(100-AU90)*100</f>
        <v>0</v>
      </c>
      <c r="AU90" s="36">
        <v>0</v>
      </c>
      <c r="AV90" s="36">
        <f>L90</f>
        <v>0</v>
      </c>
    </row>
    <row r="91" spans="1:48" ht="12.75">
      <c r="A91" s="5" t="s">
        <v>67</v>
      </c>
      <c r="B91" s="5" t="s">
        <v>74</v>
      </c>
      <c r="C91" s="5" t="s">
        <v>139</v>
      </c>
      <c r="D91" s="5" t="s">
        <v>218</v>
      </c>
      <c r="E91" s="5" t="s">
        <v>230</v>
      </c>
      <c r="F91" s="18">
        <v>8</v>
      </c>
      <c r="G91" s="18">
        <v>0</v>
      </c>
      <c r="H91" s="18">
        <f>F91*AE91</f>
        <v>0</v>
      </c>
      <c r="I91" s="18">
        <f>J91-H91</f>
        <v>0</v>
      </c>
      <c r="J91" s="18">
        <f>F91*G91</f>
        <v>0</v>
      </c>
      <c r="K91" s="18">
        <v>0</v>
      </c>
      <c r="L91" s="18">
        <f>F91*K91</f>
        <v>0</v>
      </c>
      <c r="M91" s="31" t="s">
        <v>250</v>
      </c>
      <c r="P91" s="36">
        <f>IF(AG91="5",J91,0)</f>
        <v>0</v>
      </c>
      <c r="R91" s="36">
        <f>IF(AG91="1",H91,0)</f>
        <v>0</v>
      </c>
      <c r="S91" s="36">
        <f>IF(AG91="1",I91,0)</f>
        <v>0</v>
      </c>
      <c r="T91" s="36">
        <f>IF(AG91="7",H91,0)</f>
        <v>0</v>
      </c>
      <c r="U91" s="36">
        <f>IF(AG91="7",I91,0)</f>
        <v>0</v>
      </c>
      <c r="V91" s="36">
        <f>IF(AG91="2",H91,0)</f>
        <v>0</v>
      </c>
      <c r="W91" s="36">
        <f>IF(AG91="2",I91,0)</f>
        <v>0</v>
      </c>
      <c r="X91" s="36">
        <f>IF(AG91="0",J91,0)</f>
        <v>0</v>
      </c>
      <c r="Y91" s="27" t="s">
        <v>74</v>
      </c>
      <c r="Z91" s="18">
        <f>IF(AD91=0,J91,0)</f>
        <v>0</v>
      </c>
      <c r="AA91" s="18">
        <f>IF(AD91=15,J91,0)</f>
        <v>0</v>
      </c>
      <c r="AB91" s="18">
        <f>IF(AD91=21,J91,0)</f>
        <v>0</v>
      </c>
      <c r="AD91" s="36">
        <v>21</v>
      </c>
      <c r="AE91" s="36">
        <f>G91*0</f>
        <v>0</v>
      </c>
      <c r="AF91" s="36">
        <f>G91*(1-0)</f>
        <v>0</v>
      </c>
      <c r="AG91" s="31" t="s">
        <v>7</v>
      </c>
      <c r="AM91" s="36">
        <f>F91*AE91</f>
        <v>0</v>
      </c>
      <c r="AN91" s="36">
        <f>F91*AF91</f>
        <v>0</v>
      </c>
      <c r="AO91" s="37" t="s">
        <v>265</v>
      </c>
      <c r="AP91" s="37" t="s">
        <v>281</v>
      </c>
      <c r="AQ91" s="27" t="s">
        <v>285</v>
      </c>
      <c r="AS91" s="36">
        <f>AM91+AN91</f>
        <v>0</v>
      </c>
      <c r="AT91" s="36">
        <f>G91/(100-AU91)*100</f>
        <v>0</v>
      </c>
      <c r="AU91" s="36">
        <v>0</v>
      </c>
      <c r="AV91" s="36">
        <f>L91</f>
        <v>0</v>
      </c>
    </row>
    <row r="92" spans="1:13" ht="12.75">
      <c r="A92" s="7"/>
      <c r="B92" s="15" t="s">
        <v>75</v>
      </c>
      <c r="C92" s="15"/>
      <c r="D92" s="15" t="s">
        <v>219</v>
      </c>
      <c r="E92" s="7" t="s">
        <v>6</v>
      </c>
      <c r="F92" s="7" t="s">
        <v>6</v>
      </c>
      <c r="G92" s="7" t="s">
        <v>6</v>
      </c>
      <c r="H92" s="40">
        <f>H93</f>
        <v>0</v>
      </c>
      <c r="I92" s="40">
        <f>I93</f>
        <v>0</v>
      </c>
      <c r="J92" s="40">
        <f>H92+I92</f>
        <v>0</v>
      </c>
      <c r="K92" s="28"/>
      <c r="L92" s="40">
        <f>L93</f>
        <v>0</v>
      </c>
      <c r="M92" s="28"/>
    </row>
    <row r="93" spans="1:37" ht="12.75">
      <c r="A93" s="4"/>
      <c r="B93" s="14" t="s">
        <v>75</v>
      </c>
      <c r="C93" s="14" t="s">
        <v>140</v>
      </c>
      <c r="D93" s="14" t="s">
        <v>220</v>
      </c>
      <c r="E93" s="4" t="s">
        <v>6</v>
      </c>
      <c r="F93" s="4" t="s">
        <v>6</v>
      </c>
      <c r="G93" s="4" t="s">
        <v>6</v>
      </c>
      <c r="H93" s="39">
        <f>SUM(H94:H95)</f>
        <v>0</v>
      </c>
      <c r="I93" s="39">
        <f>SUM(I94:I95)</f>
        <v>0</v>
      </c>
      <c r="J93" s="39">
        <f>H93+I93</f>
        <v>0</v>
      </c>
      <c r="K93" s="27"/>
      <c r="L93" s="39">
        <f>SUM(L94:L95)</f>
        <v>0</v>
      </c>
      <c r="M93" s="27"/>
      <c r="Y93" s="27" t="s">
        <v>75</v>
      </c>
      <c r="AI93" s="39">
        <f>SUM(Z94:Z95)</f>
        <v>0</v>
      </c>
      <c r="AJ93" s="39">
        <f>SUM(AA94:AA95)</f>
        <v>0</v>
      </c>
      <c r="AK93" s="39">
        <f>SUM(AB94:AB95)</f>
        <v>0</v>
      </c>
    </row>
    <row r="94" spans="1:48" ht="12.75">
      <c r="A94" s="5" t="s">
        <v>68</v>
      </c>
      <c r="B94" s="5" t="s">
        <v>75</v>
      </c>
      <c r="C94" s="5" t="s">
        <v>141</v>
      </c>
      <c r="D94" s="5" t="s">
        <v>329</v>
      </c>
      <c r="E94" s="5" t="s">
        <v>233</v>
      </c>
      <c r="F94" s="18">
        <v>1</v>
      </c>
      <c r="G94" s="18">
        <v>0</v>
      </c>
      <c r="H94" s="18">
        <f>F94*AE94</f>
        <v>0</v>
      </c>
      <c r="I94" s="18">
        <f>J94-H94</f>
        <v>0</v>
      </c>
      <c r="J94" s="18">
        <f>F94*G94</f>
        <v>0</v>
      </c>
      <c r="K94" s="18">
        <v>0</v>
      </c>
      <c r="L94" s="18">
        <f>F94*K94</f>
        <v>0</v>
      </c>
      <c r="M94" s="31"/>
      <c r="P94" s="36">
        <f>IF(AG94="5",J94,0)</f>
        <v>0</v>
      </c>
      <c r="R94" s="36">
        <f>IF(AG94="1",H94,0)</f>
        <v>0</v>
      </c>
      <c r="S94" s="36">
        <f>IF(AG94="1",I94,0)</f>
        <v>0</v>
      </c>
      <c r="T94" s="36">
        <f>IF(AG94="7",H94,0)</f>
        <v>0</v>
      </c>
      <c r="U94" s="36">
        <f>IF(AG94="7",I94,0)</f>
        <v>0</v>
      </c>
      <c r="V94" s="36">
        <f>IF(AG94="2",H94,0)</f>
        <v>0</v>
      </c>
      <c r="W94" s="36">
        <f>IF(AG94="2",I94,0)</f>
        <v>0</v>
      </c>
      <c r="X94" s="36">
        <f>IF(AG94="0",J94,0)</f>
        <v>0</v>
      </c>
      <c r="Y94" s="27" t="s">
        <v>75</v>
      </c>
      <c r="Z94" s="18">
        <f>IF(AD94=0,J94,0)</f>
        <v>0</v>
      </c>
      <c r="AA94" s="18">
        <f>IF(AD94=15,J94,0)</f>
        <v>0</v>
      </c>
      <c r="AB94" s="18">
        <f>IF(AD94=21,J94,0)</f>
        <v>0</v>
      </c>
      <c r="AD94" s="36">
        <v>21</v>
      </c>
      <c r="AE94" s="36">
        <f>G94*0</f>
        <v>0</v>
      </c>
      <c r="AF94" s="36">
        <f>G94*(1-0)</f>
        <v>0</v>
      </c>
      <c r="AG94" s="31" t="s">
        <v>7</v>
      </c>
      <c r="AM94" s="36">
        <f>F94*AE94</f>
        <v>0</v>
      </c>
      <c r="AN94" s="36">
        <f>F94*AF94</f>
        <v>0</v>
      </c>
      <c r="AO94" s="37" t="s">
        <v>271</v>
      </c>
      <c r="AP94" s="37" t="s">
        <v>282</v>
      </c>
      <c r="AQ94" s="27" t="s">
        <v>286</v>
      </c>
      <c r="AS94" s="36">
        <f>AM94+AN94</f>
        <v>0</v>
      </c>
      <c r="AT94" s="36">
        <f>G94/(100-AU94)*100</f>
        <v>0</v>
      </c>
      <c r="AU94" s="36">
        <v>0</v>
      </c>
      <c r="AV94" s="36">
        <f>L94</f>
        <v>0</v>
      </c>
    </row>
    <row r="95" spans="1:48" ht="12.75">
      <c r="A95" s="8" t="s">
        <v>69</v>
      </c>
      <c r="B95" s="8" t="s">
        <v>75</v>
      </c>
      <c r="C95" s="8" t="s">
        <v>142</v>
      </c>
      <c r="D95" s="8" t="s">
        <v>221</v>
      </c>
      <c r="E95" s="8" t="s">
        <v>233</v>
      </c>
      <c r="F95" s="20">
        <v>1</v>
      </c>
      <c r="G95" s="18">
        <v>0</v>
      </c>
      <c r="H95" s="20">
        <f>F95*AE95</f>
        <v>0</v>
      </c>
      <c r="I95" s="20">
        <f>J95-H95</f>
        <v>0</v>
      </c>
      <c r="J95" s="20">
        <f>F95*G95</f>
        <v>0</v>
      </c>
      <c r="K95" s="20">
        <v>0</v>
      </c>
      <c r="L95" s="20">
        <f>F95*K95</f>
        <v>0</v>
      </c>
      <c r="M95" s="33"/>
      <c r="P95" s="36">
        <f>IF(AG95="5",J95,0)</f>
        <v>0</v>
      </c>
      <c r="R95" s="36">
        <f>IF(AG95="1",H95,0)</f>
        <v>0</v>
      </c>
      <c r="S95" s="36">
        <f>IF(AG95="1",I95,0)</f>
        <v>0</v>
      </c>
      <c r="T95" s="36">
        <f>IF(AG95="7",H95,0)</f>
        <v>0</v>
      </c>
      <c r="U95" s="36">
        <f>IF(AG95="7",I95,0)</f>
        <v>0</v>
      </c>
      <c r="V95" s="36">
        <f>IF(AG95="2",H95,0)</f>
        <v>0</v>
      </c>
      <c r="W95" s="36">
        <f>IF(AG95="2",I95,0)</f>
        <v>0</v>
      </c>
      <c r="X95" s="36">
        <f>IF(AG95="0",J95,0)</f>
        <v>0</v>
      </c>
      <c r="Y95" s="27" t="s">
        <v>75</v>
      </c>
      <c r="Z95" s="18">
        <f>IF(AD95=0,J95,0)</f>
        <v>0</v>
      </c>
      <c r="AA95" s="18">
        <f>IF(AD95=15,J95,0)</f>
        <v>0</v>
      </c>
      <c r="AB95" s="18">
        <f>IF(AD95=21,J95,0)</f>
        <v>0</v>
      </c>
      <c r="AD95" s="36">
        <v>21</v>
      </c>
      <c r="AE95" s="36">
        <f>G95*0</f>
        <v>0</v>
      </c>
      <c r="AF95" s="36">
        <f>G95*(1-0)</f>
        <v>0</v>
      </c>
      <c r="AG95" s="31" t="s">
        <v>7</v>
      </c>
      <c r="AM95" s="36">
        <f>F95*AE95</f>
        <v>0</v>
      </c>
      <c r="AN95" s="36">
        <f>F95*AF95</f>
        <v>0</v>
      </c>
      <c r="AO95" s="37" t="s">
        <v>271</v>
      </c>
      <c r="AP95" s="37" t="s">
        <v>282</v>
      </c>
      <c r="AQ95" s="27" t="s">
        <v>286</v>
      </c>
      <c r="AS95" s="36">
        <f>AM95+AN95</f>
        <v>0</v>
      </c>
      <c r="AT95" s="36">
        <f>G95/(100-AU95)*100</f>
        <v>0</v>
      </c>
      <c r="AU95" s="36">
        <v>0</v>
      </c>
      <c r="AV95" s="36">
        <f>L95</f>
        <v>0</v>
      </c>
    </row>
    <row r="96" spans="1:13" ht="12.75">
      <c r="A96" s="9"/>
      <c r="B96" s="9"/>
      <c r="C96" s="9"/>
      <c r="D96" s="9"/>
      <c r="E96" s="9"/>
      <c r="F96" s="9"/>
      <c r="G96" s="9"/>
      <c r="H96" s="64" t="s">
        <v>240</v>
      </c>
      <c r="I96" s="65"/>
      <c r="J96" s="41">
        <f>J13+J15+J18+J20+J22+J25+J27+J31+J36+J45+J64+J70+J72+J76+J78+J89+J93</f>
        <v>0</v>
      </c>
      <c r="K96" s="9"/>
      <c r="L96" s="9"/>
      <c r="M96" s="9"/>
    </row>
    <row r="97" ht="11.25" customHeight="1">
      <c r="A97" s="10" t="s">
        <v>70</v>
      </c>
    </row>
    <row r="98" spans="1:13" ht="12.75">
      <c r="A98" s="66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</row>
  </sheetData>
  <sheetProtection/>
  <mergeCells count="2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H10:J10"/>
    <mergeCell ref="K10:L10"/>
    <mergeCell ref="H96:I96"/>
    <mergeCell ref="A98:M98"/>
    <mergeCell ref="A8:C9"/>
    <mergeCell ref="D8:D9"/>
    <mergeCell ref="E8:F9"/>
    <mergeCell ref="G8:H9"/>
    <mergeCell ref="I8:I9"/>
    <mergeCell ref="J8:M9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K37" sqref="K3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8"/>
      <c r="B1" s="42"/>
      <c r="C1" s="108" t="s">
        <v>301</v>
      </c>
      <c r="D1" s="76"/>
      <c r="E1" s="76"/>
      <c r="F1" s="76"/>
      <c r="G1" s="76"/>
      <c r="H1" s="76"/>
      <c r="I1" s="76"/>
    </row>
    <row r="2" spans="1:10" ht="12.75">
      <c r="A2" s="77" t="s">
        <v>1</v>
      </c>
      <c r="B2" s="78"/>
      <c r="C2" s="79" t="str">
        <f>'Stavební rozpočet'!D2</f>
        <v>Termoregulace otopné soustavy v objektu ZŠ Oldřichovice 275</v>
      </c>
      <c r="D2" s="65"/>
      <c r="E2" s="82" t="s">
        <v>241</v>
      </c>
      <c r="F2" s="82" t="str">
        <f>'Stavební rozpočet'!J2</f>
        <v> </v>
      </c>
      <c r="G2" s="78"/>
      <c r="H2" s="82" t="s">
        <v>325</v>
      </c>
      <c r="I2" s="109"/>
      <c r="J2" s="34"/>
    </row>
    <row r="3" spans="1:10" ht="12.75">
      <c r="A3" s="74"/>
      <c r="B3" s="67"/>
      <c r="C3" s="80"/>
      <c r="D3" s="80"/>
      <c r="E3" s="67"/>
      <c r="F3" s="67"/>
      <c r="G3" s="67"/>
      <c r="H3" s="67"/>
      <c r="I3" s="72"/>
      <c r="J3" s="34"/>
    </row>
    <row r="4" spans="1:10" ht="12.75">
      <c r="A4" s="68" t="s">
        <v>2</v>
      </c>
      <c r="B4" s="67"/>
      <c r="C4" s="66" t="str">
        <f>'Stavební rozpočet'!D4</f>
        <v> </v>
      </c>
      <c r="D4" s="67"/>
      <c r="E4" s="66" t="s">
        <v>242</v>
      </c>
      <c r="F4" s="66" t="str">
        <f>'Stavební rozpočet'!J4</f>
        <v> </v>
      </c>
      <c r="G4" s="67"/>
      <c r="H4" s="66" t="s">
        <v>325</v>
      </c>
      <c r="I4" s="107"/>
      <c r="J4" s="34"/>
    </row>
    <row r="5" spans="1:10" ht="12.75">
      <c r="A5" s="74"/>
      <c r="B5" s="67"/>
      <c r="C5" s="67"/>
      <c r="D5" s="67"/>
      <c r="E5" s="67"/>
      <c r="F5" s="67"/>
      <c r="G5" s="67"/>
      <c r="H5" s="67"/>
      <c r="I5" s="72"/>
      <c r="J5" s="34"/>
    </row>
    <row r="6" spans="1:10" ht="12.75">
      <c r="A6" s="68" t="s">
        <v>3</v>
      </c>
      <c r="B6" s="67"/>
      <c r="C6" s="66" t="str">
        <f>'Stavební rozpočet'!D6</f>
        <v>Oldřichovice 275</v>
      </c>
      <c r="D6" s="67"/>
      <c r="E6" s="66" t="s">
        <v>243</v>
      </c>
      <c r="F6" s="66" t="str">
        <f>'Stavební rozpočet'!J6</f>
        <v> </v>
      </c>
      <c r="G6" s="67"/>
      <c r="H6" s="66" t="s">
        <v>325</v>
      </c>
      <c r="I6" s="107"/>
      <c r="J6" s="34"/>
    </row>
    <row r="7" spans="1:10" ht="12.75">
      <c r="A7" s="74"/>
      <c r="B7" s="67"/>
      <c r="C7" s="67"/>
      <c r="D7" s="67"/>
      <c r="E7" s="67"/>
      <c r="F7" s="67"/>
      <c r="G7" s="67"/>
      <c r="H7" s="67"/>
      <c r="I7" s="72"/>
      <c r="J7" s="34"/>
    </row>
    <row r="8" spans="1:10" ht="12.75">
      <c r="A8" s="68" t="s">
        <v>223</v>
      </c>
      <c r="B8" s="67"/>
      <c r="C8" s="66" t="str">
        <f>'Stavební rozpočet'!G4</f>
        <v> </v>
      </c>
      <c r="D8" s="67"/>
      <c r="E8" s="66" t="s">
        <v>224</v>
      </c>
      <c r="F8" s="66" t="str">
        <f>'Stavební rozpočet'!G6</f>
        <v> </v>
      </c>
      <c r="G8" s="67"/>
      <c r="H8" s="71" t="s">
        <v>326</v>
      </c>
      <c r="I8" s="107" t="s">
        <v>69</v>
      </c>
      <c r="J8" s="34"/>
    </row>
    <row r="9" spans="1:10" ht="12.75">
      <c r="A9" s="74"/>
      <c r="B9" s="67"/>
      <c r="C9" s="67"/>
      <c r="D9" s="67"/>
      <c r="E9" s="67"/>
      <c r="F9" s="67"/>
      <c r="G9" s="67"/>
      <c r="H9" s="67"/>
      <c r="I9" s="72"/>
      <c r="J9" s="34"/>
    </row>
    <row r="10" spans="1:10" ht="12.75">
      <c r="A10" s="68" t="s">
        <v>4</v>
      </c>
      <c r="B10" s="67"/>
      <c r="C10" s="66" t="str">
        <f>'Stavební rozpočet'!D8</f>
        <v> </v>
      </c>
      <c r="D10" s="67"/>
      <c r="E10" s="66" t="s">
        <v>244</v>
      </c>
      <c r="F10" s="66" t="str">
        <f>'Stavební rozpočet'!J8</f>
        <v> </v>
      </c>
      <c r="G10" s="67"/>
      <c r="H10" s="71" t="s">
        <v>327</v>
      </c>
      <c r="I10" s="105" t="str">
        <f>'Stavební rozpočet'!G8</f>
        <v>18.04.2018</v>
      </c>
      <c r="J10" s="34"/>
    </row>
    <row r="11" spans="1:10" ht="12.75">
      <c r="A11" s="103"/>
      <c r="B11" s="104"/>
      <c r="C11" s="104"/>
      <c r="D11" s="104"/>
      <c r="E11" s="104"/>
      <c r="F11" s="104"/>
      <c r="G11" s="104"/>
      <c r="H11" s="104"/>
      <c r="I11" s="106"/>
      <c r="J11" s="34"/>
    </row>
    <row r="12" spans="1:9" ht="23.25" customHeight="1">
      <c r="A12" s="99" t="s">
        <v>287</v>
      </c>
      <c r="B12" s="100"/>
      <c r="C12" s="100"/>
      <c r="D12" s="100"/>
      <c r="E12" s="100"/>
      <c r="F12" s="100"/>
      <c r="G12" s="100"/>
      <c r="H12" s="100"/>
      <c r="I12" s="100"/>
    </row>
    <row r="13" spans="1:10" ht="26.25" customHeight="1">
      <c r="A13" s="43" t="s">
        <v>288</v>
      </c>
      <c r="B13" s="101" t="s">
        <v>299</v>
      </c>
      <c r="C13" s="102"/>
      <c r="D13" s="43" t="s">
        <v>302</v>
      </c>
      <c r="E13" s="101" t="s">
        <v>311</v>
      </c>
      <c r="F13" s="102"/>
      <c r="G13" s="43" t="s">
        <v>312</v>
      </c>
      <c r="H13" s="101" t="s">
        <v>328</v>
      </c>
      <c r="I13" s="102"/>
      <c r="J13" s="34"/>
    </row>
    <row r="14" spans="1:10" ht="15" customHeight="1">
      <c r="A14" s="44" t="s">
        <v>289</v>
      </c>
      <c r="B14" s="48" t="s">
        <v>300</v>
      </c>
      <c r="C14" s="52">
        <f>SUM('Stavební rozpočet'!R12:R95)</f>
        <v>0</v>
      </c>
      <c r="D14" s="97" t="s">
        <v>303</v>
      </c>
      <c r="E14" s="98"/>
      <c r="F14" s="52">
        <v>0</v>
      </c>
      <c r="G14" s="97" t="s">
        <v>313</v>
      </c>
      <c r="H14" s="98"/>
      <c r="I14" s="52">
        <v>0</v>
      </c>
      <c r="J14" s="34"/>
    </row>
    <row r="15" spans="1:10" ht="15" customHeight="1">
      <c r="A15" s="45"/>
      <c r="B15" s="48" t="s">
        <v>245</v>
      </c>
      <c r="C15" s="52">
        <f>SUM('Stavební rozpočet'!S12:S95)</f>
        <v>0</v>
      </c>
      <c r="D15" s="97" t="s">
        <v>304</v>
      </c>
      <c r="E15" s="98"/>
      <c r="F15" s="52">
        <v>0</v>
      </c>
      <c r="G15" s="97" t="s">
        <v>314</v>
      </c>
      <c r="H15" s="98"/>
      <c r="I15" s="52">
        <v>0</v>
      </c>
      <c r="J15" s="34"/>
    </row>
    <row r="16" spans="1:10" ht="15" customHeight="1">
      <c r="A16" s="44" t="s">
        <v>290</v>
      </c>
      <c r="B16" s="48" t="s">
        <v>300</v>
      </c>
      <c r="C16" s="52">
        <f>SUM('Stavební rozpočet'!T12:T95)</f>
        <v>0</v>
      </c>
      <c r="D16" s="97" t="s">
        <v>305</v>
      </c>
      <c r="E16" s="98"/>
      <c r="F16" s="52">
        <v>0</v>
      </c>
      <c r="G16" s="97" t="s">
        <v>315</v>
      </c>
      <c r="H16" s="98"/>
      <c r="I16" s="52">
        <v>0</v>
      </c>
      <c r="J16" s="34"/>
    </row>
    <row r="17" spans="1:10" ht="15" customHeight="1">
      <c r="A17" s="45"/>
      <c r="B17" s="48" t="s">
        <v>245</v>
      </c>
      <c r="C17" s="52">
        <f>SUM('Stavební rozpočet'!U12:U95)</f>
        <v>0</v>
      </c>
      <c r="D17" s="97"/>
      <c r="E17" s="98"/>
      <c r="F17" s="53"/>
      <c r="G17" s="97" t="s">
        <v>316</v>
      </c>
      <c r="H17" s="98"/>
      <c r="I17" s="52">
        <v>0</v>
      </c>
      <c r="J17" s="34"/>
    </row>
    <row r="18" spans="1:10" ht="15" customHeight="1">
      <c r="A18" s="44" t="s">
        <v>291</v>
      </c>
      <c r="B18" s="48" t="s">
        <v>300</v>
      </c>
      <c r="C18" s="52">
        <f>SUM('Stavební rozpočet'!V12:V95)</f>
        <v>0</v>
      </c>
      <c r="D18" s="97"/>
      <c r="E18" s="98"/>
      <c r="F18" s="53"/>
      <c r="G18" s="97" t="s">
        <v>220</v>
      </c>
      <c r="H18" s="98"/>
      <c r="I18" s="52">
        <v>0</v>
      </c>
      <c r="J18" s="34"/>
    </row>
    <row r="19" spans="1:10" ht="15" customHeight="1">
      <c r="A19" s="45"/>
      <c r="B19" s="48" t="s">
        <v>245</v>
      </c>
      <c r="C19" s="52">
        <f>SUM('Stavební rozpočet'!W12:W95)</f>
        <v>0</v>
      </c>
      <c r="D19" s="97"/>
      <c r="E19" s="98"/>
      <c r="F19" s="53"/>
      <c r="G19" s="97" t="s">
        <v>317</v>
      </c>
      <c r="H19" s="98"/>
      <c r="I19" s="52">
        <v>0</v>
      </c>
      <c r="J19" s="34"/>
    </row>
    <row r="20" spans="1:10" ht="15" customHeight="1">
      <c r="A20" s="95" t="s">
        <v>161</v>
      </c>
      <c r="B20" s="96"/>
      <c r="C20" s="52">
        <f>SUM('Stavební rozpočet'!X12:X95)</f>
        <v>0</v>
      </c>
      <c r="D20" s="97"/>
      <c r="E20" s="98"/>
      <c r="F20" s="53"/>
      <c r="G20" s="97"/>
      <c r="H20" s="98"/>
      <c r="I20" s="53"/>
      <c r="J20" s="34"/>
    </row>
    <row r="21" spans="1:10" ht="15" customHeight="1">
      <c r="A21" s="95" t="s">
        <v>292</v>
      </c>
      <c r="B21" s="96"/>
      <c r="C21" s="52">
        <f>SUM('Stavební rozpočet'!P12:P95)</f>
        <v>0</v>
      </c>
      <c r="D21" s="97"/>
      <c r="E21" s="98"/>
      <c r="F21" s="53"/>
      <c r="G21" s="97"/>
      <c r="H21" s="98"/>
      <c r="I21" s="53"/>
      <c r="J21" s="34"/>
    </row>
    <row r="22" spans="1:10" ht="16.5" customHeight="1">
      <c r="A22" s="95" t="s">
        <v>293</v>
      </c>
      <c r="B22" s="96"/>
      <c r="C22" s="52">
        <f>SUM(C14:C21)</f>
        <v>0</v>
      </c>
      <c r="D22" s="95" t="s">
        <v>306</v>
      </c>
      <c r="E22" s="96"/>
      <c r="F22" s="52">
        <f>SUM(F14:F21)</f>
        <v>0</v>
      </c>
      <c r="G22" s="95" t="s">
        <v>318</v>
      </c>
      <c r="H22" s="96"/>
      <c r="I22" s="52">
        <f>SUM(I14:I21)</f>
        <v>0</v>
      </c>
      <c r="J22" s="34"/>
    </row>
    <row r="23" spans="1:10" ht="15" customHeight="1">
      <c r="A23" s="9"/>
      <c r="B23" s="9"/>
      <c r="C23" s="50"/>
      <c r="D23" s="95" t="s">
        <v>307</v>
      </c>
      <c r="E23" s="96"/>
      <c r="F23" s="54">
        <v>0</v>
      </c>
      <c r="G23" s="95" t="s">
        <v>319</v>
      </c>
      <c r="H23" s="96"/>
      <c r="I23" s="52">
        <v>0</v>
      </c>
      <c r="J23" s="34"/>
    </row>
    <row r="24" spans="4:10" ht="15" customHeight="1">
      <c r="D24" s="9"/>
      <c r="E24" s="9"/>
      <c r="F24" s="55"/>
      <c r="G24" s="95" t="s">
        <v>320</v>
      </c>
      <c r="H24" s="96"/>
      <c r="I24" s="52">
        <v>0</v>
      </c>
      <c r="J24" s="34"/>
    </row>
    <row r="25" spans="6:10" ht="15" customHeight="1">
      <c r="F25" s="56"/>
      <c r="G25" s="95" t="s">
        <v>321</v>
      </c>
      <c r="H25" s="96"/>
      <c r="I25" s="52">
        <v>0</v>
      </c>
      <c r="J25" s="34"/>
    </row>
    <row r="26" spans="1:9" ht="12.75">
      <c r="A26" s="42"/>
      <c r="B26" s="42"/>
      <c r="C26" s="42"/>
      <c r="G26" s="9"/>
      <c r="H26" s="9"/>
      <c r="I26" s="9"/>
    </row>
    <row r="27" spans="1:9" ht="15" customHeight="1">
      <c r="A27" s="90" t="s">
        <v>294</v>
      </c>
      <c r="B27" s="91"/>
      <c r="C27" s="57">
        <f>SUM('Stavební rozpočet'!Z12:Z95)</f>
        <v>0</v>
      </c>
      <c r="D27" s="51"/>
      <c r="E27" s="42"/>
      <c r="F27" s="42"/>
      <c r="G27" s="42"/>
      <c r="H27" s="42"/>
      <c r="I27" s="42"/>
    </row>
    <row r="28" spans="1:10" ht="15" customHeight="1">
      <c r="A28" s="90" t="s">
        <v>295</v>
      </c>
      <c r="B28" s="91"/>
      <c r="C28" s="57">
        <f>SUM('Stavební rozpočet'!AA12:AA95)</f>
        <v>0</v>
      </c>
      <c r="D28" s="90" t="s">
        <v>308</v>
      </c>
      <c r="E28" s="91"/>
      <c r="F28" s="57">
        <f>ROUND(C28*(15/100),2)</f>
        <v>0</v>
      </c>
      <c r="G28" s="90" t="s">
        <v>322</v>
      </c>
      <c r="H28" s="91"/>
      <c r="I28" s="57">
        <f>SUM(C27:C29)</f>
        <v>0</v>
      </c>
      <c r="J28" s="34"/>
    </row>
    <row r="29" spans="1:10" ht="15" customHeight="1">
      <c r="A29" s="90" t="s">
        <v>296</v>
      </c>
      <c r="B29" s="91"/>
      <c r="C29" s="57">
        <f>SUM('Stavební rozpočet'!AB12:AB95)+(F22+I22+F23+I23+I24+I25)</f>
        <v>0</v>
      </c>
      <c r="D29" s="90" t="s">
        <v>309</v>
      </c>
      <c r="E29" s="91"/>
      <c r="F29" s="57">
        <f>ROUND(C29*(21/100),2)</f>
        <v>0</v>
      </c>
      <c r="G29" s="90" t="s">
        <v>323</v>
      </c>
      <c r="H29" s="91"/>
      <c r="I29" s="57">
        <f>SUM(F28:F29)+I28</f>
        <v>0</v>
      </c>
      <c r="J29" s="34"/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10" ht="14.25" customHeight="1">
      <c r="A31" s="92" t="s">
        <v>297</v>
      </c>
      <c r="B31" s="93"/>
      <c r="C31" s="94"/>
      <c r="D31" s="92" t="s">
        <v>310</v>
      </c>
      <c r="E31" s="93"/>
      <c r="F31" s="94"/>
      <c r="G31" s="92" t="s">
        <v>324</v>
      </c>
      <c r="H31" s="93"/>
      <c r="I31" s="94"/>
      <c r="J31" s="35"/>
    </row>
    <row r="32" spans="1:10" ht="14.25" customHeight="1">
      <c r="A32" s="84"/>
      <c r="B32" s="85"/>
      <c r="C32" s="86"/>
      <c r="D32" s="84"/>
      <c r="E32" s="85"/>
      <c r="F32" s="86"/>
      <c r="G32" s="84"/>
      <c r="H32" s="85"/>
      <c r="I32" s="86"/>
      <c r="J32" s="35"/>
    </row>
    <row r="33" spans="1:10" ht="14.25" customHeight="1">
      <c r="A33" s="84"/>
      <c r="B33" s="85"/>
      <c r="C33" s="86"/>
      <c r="D33" s="84"/>
      <c r="E33" s="85"/>
      <c r="F33" s="86"/>
      <c r="G33" s="84"/>
      <c r="H33" s="85"/>
      <c r="I33" s="86"/>
      <c r="J33" s="35"/>
    </row>
    <row r="34" spans="1:10" ht="14.25" customHeight="1">
      <c r="A34" s="84"/>
      <c r="B34" s="85"/>
      <c r="C34" s="86"/>
      <c r="D34" s="84"/>
      <c r="E34" s="85"/>
      <c r="F34" s="86"/>
      <c r="G34" s="84"/>
      <c r="H34" s="85"/>
      <c r="I34" s="86"/>
      <c r="J34" s="35"/>
    </row>
    <row r="35" spans="1:10" ht="14.25" customHeight="1">
      <c r="A35" s="87" t="s">
        <v>298</v>
      </c>
      <c r="B35" s="88"/>
      <c r="C35" s="89"/>
      <c r="D35" s="87" t="s">
        <v>298</v>
      </c>
      <c r="E35" s="88"/>
      <c r="F35" s="89"/>
      <c r="G35" s="87" t="s">
        <v>298</v>
      </c>
      <c r="H35" s="88"/>
      <c r="I35" s="89"/>
      <c r="J35" s="35"/>
    </row>
    <row r="36" spans="1:9" ht="11.25" customHeight="1">
      <c r="A36" s="47" t="s">
        <v>70</v>
      </c>
      <c r="B36" s="49"/>
      <c r="C36" s="49"/>
      <c r="D36" s="49"/>
      <c r="E36" s="49"/>
      <c r="F36" s="49"/>
      <c r="G36" s="49"/>
      <c r="H36" s="49"/>
      <c r="I36" s="49"/>
    </row>
    <row r="37" spans="1:9" ht="12.75">
      <c r="A37" s="66"/>
      <c r="B37" s="67"/>
      <c r="C37" s="67"/>
      <c r="D37" s="67"/>
      <c r="E37" s="67"/>
      <c r="F37" s="67"/>
      <c r="G37" s="67"/>
      <c r="H37" s="67"/>
      <c r="I37" s="67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Kawulok</dc:creator>
  <cp:keywords/>
  <dc:description/>
  <cp:lastModifiedBy>User</cp:lastModifiedBy>
  <cp:lastPrinted>2018-05-16T03:54:20Z</cp:lastPrinted>
  <dcterms:created xsi:type="dcterms:W3CDTF">2018-05-16T03:51:41Z</dcterms:created>
  <dcterms:modified xsi:type="dcterms:W3CDTF">2018-06-04T12:51:21Z</dcterms:modified>
  <cp:category/>
  <cp:version/>
  <cp:contentType/>
  <cp:contentStatus/>
</cp:coreProperties>
</file>