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266" yWindow="180" windowWidth="15510" windowHeight="13110" tabRatio="820" activeTab="0"/>
  </bookViews>
  <sheets>
    <sheet name="DPS CELK." sheetId="13" r:id="rId1"/>
  </sheets>
  <definedNames>
    <definedName name="_xlnm.Print_Area" localSheetId="0">'DPS CELK.'!$B$1:$H$173</definedName>
  </definedNames>
  <calcPr calcId="145621"/>
</workbook>
</file>

<file path=xl/sharedStrings.xml><?xml version="1.0" encoding="utf-8"?>
<sst xmlns="http://schemas.openxmlformats.org/spreadsheetml/2006/main" count="395" uniqueCount="169">
  <si>
    <t>m2</t>
  </si>
  <si>
    <t>ks</t>
  </si>
  <si>
    <t>m</t>
  </si>
  <si>
    <t>poř.č.</t>
  </si>
  <si>
    <t>MJ</t>
  </si>
  <si>
    <t>množství</t>
  </si>
  <si>
    <t>jedn. Cena</t>
  </si>
  <si>
    <t>celkem bez DPH</t>
  </si>
  <si>
    <t>t</t>
  </si>
  <si>
    <t>Specifikace</t>
  </si>
  <si>
    <t>kg</t>
  </si>
  <si>
    <t>l</t>
  </si>
  <si>
    <t>Vypracovala: Ing. Kateřina Černohorská</t>
  </si>
  <si>
    <t>Celkem za dílo bez DPH</t>
  </si>
  <si>
    <t>m3</t>
  </si>
  <si>
    <t>Výsadba stromů a keřů</t>
  </si>
  <si>
    <t>183 10 1221</t>
  </si>
  <si>
    <t xml:space="preserve">184 21 5133 </t>
  </si>
  <si>
    <t>Kotvení dřevin  třemi a více kůly dl. přes 2,0 do 3,0 m</t>
  </si>
  <si>
    <t>184 50 1141</t>
  </si>
  <si>
    <t>184 91 1421</t>
  </si>
  <si>
    <t xml:space="preserve">185 80 2114 </t>
  </si>
  <si>
    <t>185 85 1121</t>
  </si>
  <si>
    <t>185 85 1129</t>
  </si>
  <si>
    <t>Dovoz vody pro zálivku - příplatek za dalších 4000 m</t>
  </si>
  <si>
    <t>998 23 1311</t>
  </si>
  <si>
    <t>Přesun hmot pro sadovnické  a krajinářské úpravy do 5000 m</t>
  </si>
  <si>
    <t>Rákosová rohož 1,8m</t>
  </si>
  <si>
    <t>Mulčovací kůra drcená, vrstva 0,1m</t>
  </si>
  <si>
    <t>Herbicid (10l/ha)</t>
  </si>
  <si>
    <t>Rostlinný materiál</t>
  </si>
  <si>
    <t>velikost</t>
  </si>
  <si>
    <t>Celkem za výsadbu stromů a keřů včetně materiálu bez DPH</t>
  </si>
  <si>
    <t>Cenová hladina dle katalogu URS 2016</t>
  </si>
  <si>
    <t xml:space="preserve">KEŘE </t>
  </si>
  <si>
    <t>Celkem za dílo s DPH</t>
  </si>
  <si>
    <t>DPH 21%</t>
  </si>
  <si>
    <t>Acer platanoides</t>
  </si>
  <si>
    <t>Příčky 3ks/strom</t>
  </si>
  <si>
    <t>111 21 2351</t>
  </si>
  <si>
    <t>162 30 1501</t>
  </si>
  <si>
    <t xml:space="preserve">Vodorovné přemístění křovin do prům 100mm do 5000m </t>
  </si>
  <si>
    <t>R</t>
  </si>
  <si>
    <t>Následná péče po dobu 1. roku</t>
  </si>
  <si>
    <t>Stromy</t>
  </si>
  <si>
    <t>185 80 4213</t>
  </si>
  <si>
    <t>185 80 4312</t>
  </si>
  <si>
    <t>Zalití rostlin přes 20 m2 (10x 100 l / strom)</t>
  </si>
  <si>
    <t>Dovoz vody pro zálivku na vzdálenost do 1000 m</t>
  </si>
  <si>
    <t>Keře</t>
  </si>
  <si>
    <t>Zalití rostlin přes 20 m2 (10x 20 l / m2 )</t>
  </si>
  <si>
    <t>Následná péče po dobu 2. roku</t>
  </si>
  <si>
    <t>184 85 2312</t>
  </si>
  <si>
    <t>Výchovný řez stromů alejové stromy výška 4-6 m</t>
  </si>
  <si>
    <t>184 91 1111</t>
  </si>
  <si>
    <t>Kůl 2,5m prům. 70 mm</t>
  </si>
  <si>
    <t>Hnojení umělým hnojivem s rozdělením k jednotlivým rostlinám - 100g/strom</t>
  </si>
  <si>
    <t>Umělé hnojivo</t>
  </si>
  <si>
    <t>Hnojení umělým hnojivem s rozdělením k jednotlivým rostlinám - 20g/m2</t>
  </si>
  <si>
    <t>Celkem za následnou péči po dobu 1. roku bez DPH</t>
  </si>
  <si>
    <t>Celkem za následnou péči po dobu 2. roku bez DPH</t>
  </si>
  <si>
    <t xml:space="preserve">Odstranění nevhodných dřevin </t>
  </si>
  <si>
    <t>162 30 1424</t>
  </si>
  <si>
    <t>Celkem za odstranění nevhodných dřevin bez DPH</t>
  </si>
  <si>
    <t>Rekapitulace</t>
  </si>
  <si>
    <t>Quercus robur 'Fastigiata Koster'</t>
  </si>
  <si>
    <t>Jamky s 50% výměnou půdy v hornině 1 až 4 objemu do 1m3 v rovině</t>
  </si>
  <si>
    <t>183 10 5221</t>
  </si>
  <si>
    <t>Jamky s 50% výměnou půdy v hornině 1 až 4 objemu do 1m3, svah do 1:1</t>
  </si>
  <si>
    <t>Výsadba dřeviny s balem v rovině  při průměru zem.balu 500-600 mm, se zalitím</t>
  </si>
  <si>
    <t>184 10 2115</t>
  </si>
  <si>
    <t>Výsadba dřeviny s balem na svahu do 1:1 při průměru zem.balu 500-600 mm, se zalitím</t>
  </si>
  <si>
    <t>184 10 2135</t>
  </si>
  <si>
    <t xml:space="preserve">184 21 5113 </t>
  </si>
  <si>
    <t>184 50 1143</t>
  </si>
  <si>
    <t>Zhotovení obalu kmene z rákosové rohože v jedné vrstvě, svah do 1:1 (3*0,6)</t>
  </si>
  <si>
    <t>184 80 2111</t>
  </si>
  <si>
    <t>Vodorovné přemístění do 5000m pařezů, prům km. do 900mm</t>
  </si>
  <si>
    <t>Uložení odpadu na skládku a skládkovné</t>
  </si>
  <si>
    <t>Následná péče po dobu 3. roku</t>
  </si>
  <si>
    <t>Celkem za následnou péči po dobu 3. roku bez DPH</t>
  </si>
  <si>
    <t>Odstranění ukotvení dřeviny jedním kůlem, délky do 3m</t>
  </si>
  <si>
    <t>184 21 5151</t>
  </si>
  <si>
    <t>Odstranění ukotvení dřeviny třemi kůly, délky do 3m</t>
  </si>
  <si>
    <t>184 21 5173</t>
  </si>
  <si>
    <t>Odstranění obalu kmene z rákosové rohože</t>
  </si>
  <si>
    <t>184 50 1181</t>
  </si>
  <si>
    <t>185 80 4214</t>
  </si>
  <si>
    <t xml:space="preserve">Oprava a doplnění kůlů při 30% </t>
  </si>
  <si>
    <t>Mulčovací kůra drcená  (doplnění 5cm)</t>
  </si>
  <si>
    <t>Mulčovací kůra drcená (doplnění 5cm)</t>
  </si>
  <si>
    <t>Abies nordmandiana</t>
  </si>
  <si>
    <t>STROMY JEHLIČNATÉ</t>
  </si>
  <si>
    <t>STROMY LISTNATÉ</t>
  </si>
  <si>
    <t xml:space="preserve">Acer campestre </t>
  </si>
  <si>
    <t>Acer campestre ´Red Shine´</t>
  </si>
  <si>
    <t>Acer platanoides ´Drummondii´</t>
  </si>
  <si>
    <t>Acer platanoides ´Olmsted´</t>
  </si>
  <si>
    <t>Acer pseudoplatanus</t>
  </si>
  <si>
    <t>Carpinus betulus</t>
  </si>
  <si>
    <t>Carpinus betulus ´Fastigiata´</t>
  </si>
  <si>
    <t>Cornus mas</t>
  </si>
  <si>
    <t>Magnolia x loebneri ´Merrill´</t>
  </si>
  <si>
    <t>Prunus x schmittii</t>
  </si>
  <si>
    <t>Quercus palustris</t>
  </si>
  <si>
    <t>Tilia platyphyllos</t>
  </si>
  <si>
    <t>Buxus sempervirens</t>
  </si>
  <si>
    <t>Spiraea x vanhouttei</t>
  </si>
  <si>
    <t>50-60, ZB</t>
  </si>
  <si>
    <t>ok 14-16, ZB</t>
  </si>
  <si>
    <t>ok 16-18, ZB</t>
  </si>
  <si>
    <t>Amelanchier arborea 'Robin Hill'</t>
  </si>
  <si>
    <t>ok 12-14, ZB</t>
  </si>
  <si>
    <t>150-200, ZB</t>
  </si>
  <si>
    <t>250-300, ZB</t>
  </si>
  <si>
    <t>350-400, ZB</t>
  </si>
  <si>
    <t>40-60, K2</t>
  </si>
  <si>
    <t>184 10 2116</t>
  </si>
  <si>
    <t>Výsadba dřeviny s balem na svahu do 1:2 při průměru zem.balu 500-600 mm, se zalitím</t>
  </si>
  <si>
    <t>184 10 2125</t>
  </si>
  <si>
    <t>Výsadba dřeviny s balem v rovině  při průměru zem.balu 100-200 mm, se zalitím</t>
  </si>
  <si>
    <t>184 10 2111</t>
  </si>
  <si>
    <t>Výsadba dřeviny s balem v rovině  při průměru zem.balu 200-300 mm, se zalitím</t>
  </si>
  <si>
    <t xml:space="preserve">Jamky s 50% výměnou půdy v hornině 1 až 4 objemu do 0,02m3  v rovině </t>
  </si>
  <si>
    <t xml:space="preserve">Jamky s 50% výměnou půdy v hornině 1 až 4 objemu do 0,05m3  v rovině </t>
  </si>
  <si>
    <t>183 11 1214</t>
  </si>
  <si>
    <t>183 10 1213</t>
  </si>
  <si>
    <t>Jamky s 50% výměnou půdy v hornině 1 až 4 objemu do 1m3, svah do 1:2</t>
  </si>
  <si>
    <t>183 10 2221</t>
  </si>
  <si>
    <t>Kotvení dřevin  jedním kůlem dl. přes 2,0 do 3,0 m (MAG)</t>
  </si>
  <si>
    <t xml:space="preserve">Zhotovení závlahové mísy u solitér.dřevin v rov, o prům. do 1m </t>
  </si>
  <si>
    <t>184 21 5412</t>
  </si>
  <si>
    <t xml:space="preserve">Zhotovení závlahové mísy u solitér.dřevin, svah do 1:2, o prům. do 1m </t>
  </si>
  <si>
    <t>184 21 5422</t>
  </si>
  <si>
    <t>184 21 5432</t>
  </si>
  <si>
    <t xml:space="preserve">Zhotovení závlahové mísy u solitér.dřevin , svah do 1:1,  o prům. do 1m </t>
  </si>
  <si>
    <t>184 50 1142</t>
  </si>
  <si>
    <t>Zhotovení obalu kmene z rákosové rohože v jedné vrstvě v rovině (30*0,6)</t>
  </si>
  <si>
    <t>Zhotovení obalu kmene z rákosové rohože v jedné vrstvě, svah do 1:2 (4*0,6)</t>
  </si>
  <si>
    <t>Hnojení umělým hnojivem s rozdělením k jednotlivým rostlinám rovina (10 tbl./strom, 2tbl./keř) (42*10)*10*0,001*0,001+(130*2)*10*0,001*0,001</t>
  </si>
  <si>
    <t>Hnojivo tabletované 0,01kg (42*10+130*2)</t>
  </si>
  <si>
    <t>Kůl 2,5m prům. 70 mm (41*3+1)</t>
  </si>
  <si>
    <t>Vázací tkaný popruh š. 35mm (41*3+1)</t>
  </si>
  <si>
    <t>Instalace chráničky kmene proti poškození strun.sekačkou  (stromy mimo ABI)</t>
  </si>
  <si>
    <t>Chránička kmene proti poškození strunovou sekačkou (stromy mimo ABI)</t>
  </si>
  <si>
    <t>Dovoz vody pro zálivku na vzdálenost do 1000 m (100 l/strom, 20l/keř) (42*0,1+130*0,02)</t>
  </si>
  <si>
    <t>Substrát pro výměnu v jamkách  (42*1*0,5) + (100*0,02*0,5)+(30*0,05*0,5)</t>
  </si>
  <si>
    <t>183 20 5112</t>
  </si>
  <si>
    <t>Založení záhonu v zemině tř.3 (M12+M16)</t>
  </si>
  <si>
    <t>Odstranění nevhod. dřevin prům. do 100mm, výšky přes 1m s odstr. pařezu v rovině (keře, KTS)</t>
  </si>
  <si>
    <t>Odstranění pařezu v rovině - o prům. do 1000mm (P5.1, P5.2, P18)</t>
  </si>
  <si>
    <t>112 20 1119</t>
  </si>
  <si>
    <t>Vytyčení inženýrských sítí - soubor</t>
  </si>
  <si>
    <t>Vytyčení inženýrských sítí dle PD</t>
  </si>
  <si>
    <t>Vypletí dřevin solitérních v rovině (3x) (42*3,15*0,5*0,5)</t>
  </si>
  <si>
    <t>Kontrola kotvení a znovuuvázání při 30% (42*3*0,3)</t>
  </si>
  <si>
    <t>Mulčování rostlin tl.do 100 mm v rovině  - kůra (42*3,14*0,5*0,5)</t>
  </si>
  <si>
    <t>Mulčování rostlin tl.do 100 mm  - kůra (solitér.stromy + mulč.keřů  M12+M16) (42*3,14*0,5*0,5)+20+50</t>
  </si>
  <si>
    <t>Vypletí dřevin ve skupinách v rovině (3x) (M12+M16), 70*3</t>
  </si>
  <si>
    <t xml:space="preserve">Mulčování rostlin tl.do 100 mm v rovině  - kůra </t>
  </si>
  <si>
    <t>Datum: prosinec 2017</t>
  </si>
  <si>
    <t>NÁHRADNÍ VÝSADBY DŘEVIN - JARO 2018</t>
  </si>
  <si>
    <t>Celkem za vytyčení inženýrských sítí - soubor bez DPH</t>
  </si>
  <si>
    <t>Vypletí dřevin solitérních v rovině (3x) (3*42*3,15*0,5*0,5)</t>
  </si>
  <si>
    <t>Zásyp jam vč. substrátu a dosetí trávníku po odstraněných dřevinách (2m2/pařez + odstraněných keřích K9+K16+K18.1+K18.2=2m2/keř, skupina K12=20m2) vč. Osiva (6+28)</t>
  </si>
  <si>
    <t>Chemické odplevelení půdy před založením postřikem, v rovině (M12+M16)</t>
  </si>
  <si>
    <t>Výsadba dřeviny s balem v rovině  při průměru zem.balu 600-800 mm, se zalitím (ABI, CAR 'F'-2ks)</t>
  </si>
  <si>
    <t>SOUPIS PRACÍ DPS</t>
  </si>
  <si>
    <t>Žlutě zvýrazněné pasáže vyplňte.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</si>
</sst>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0.0000"/>
    <numFmt numFmtId="166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44" fontId="1" fillId="0" borderId="4" xfId="20" applyFont="1" applyFill="1" applyBorder="1" applyAlignment="1">
      <alignment horizontal="right" vertic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44" fontId="1" fillId="0" borderId="0" xfId="2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/>
    <xf numFmtId="44" fontId="2" fillId="0" borderId="0" xfId="20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44" fontId="1" fillId="0" borderId="6" xfId="2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/>
    <xf numFmtId="44" fontId="1" fillId="0" borderId="0" xfId="0" applyNumberFormat="1" applyFont="1" applyFill="1" applyBorder="1" applyAlignment="1">
      <alignment horizontal="right"/>
    </xf>
    <xf numFmtId="44" fontId="5" fillId="0" borderId="0" xfId="0" applyNumberFormat="1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 horizontal="right" vertical="center"/>
    </xf>
    <xf numFmtId="44" fontId="2" fillId="0" borderId="0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/>
    </xf>
    <xf numFmtId="44" fontId="1" fillId="0" borderId="0" xfId="2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2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44" fontId="2" fillId="0" borderId="6" xfId="2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/>
    </xf>
    <xf numFmtId="44" fontId="1" fillId="0" borderId="0" xfId="2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left"/>
    </xf>
    <xf numFmtId="4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 wrapText="1"/>
    </xf>
    <xf numFmtId="2" fontId="1" fillId="0" borderId="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horizontal="left" vertical="center"/>
    </xf>
    <xf numFmtId="7" fontId="1" fillId="0" borderId="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/>
    </xf>
    <xf numFmtId="44" fontId="1" fillId="0" borderId="9" xfId="20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vertical="center"/>
    </xf>
    <xf numFmtId="0" fontId="1" fillId="0" borderId="8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7" fontId="1" fillId="0" borderId="8" xfId="0" applyNumberFormat="1" applyFont="1" applyFill="1" applyBorder="1" applyAlignment="1">
      <alignment horizontal="center" vertical="center"/>
    </xf>
    <xf numFmtId="44" fontId="1" fillId="0" borderId="0" xfId="20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>
      <alignment horizontal="center" vertical="center"/>
    </xf>
    <xf numFmtId="44" fontId="2" fillId="0" borderId="0" xfId="2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44" fontId="3" fillId="0" borderId="0" xfId="0" applyNumberFormat="1" applyFont="1" applyFill="1" applyBorder="1" applyAlignment="1">
      <alignment horizont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top" wrapText="1"/>
    </xf>
    <xf numFmtId="4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center"/>
    </xf>
    <xf numFmtId="2" fontId="1" fillId="0" borderId="8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44" fontId="1" fillId="0" borderId="12" xfId="2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7" fontId="1" fillId="0" borderId="0" xfId="0" applyNumberFormat="1" applyFont="1" applyFill="1" applyBorder="1" applyAlignment="1">
      <alignment horizontal="left"/>
    </xf>
    <xf numFmtId="44" fontId="1" fillId="0" borderId="0" xfId="2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 wrapText="1"/>
    </xf>
    <xf numFmtId="44" fontId="1" fillId="0" borderId="0" xfId="0" applyNumberFormat="1" applyFont="1" applyFill="1" applyBorder="1" applyAlignment="1">
      <alignment horizontal="right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44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wrapText="1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4"/>
  <sheetViews>
    <sheetView tabSelected="1" zoomScale="130" zoomScaleNormal="130" workbookViewId="0" topLeftCell="A141">
      <selection activeCell="J131" sqref="J131"/>
    </sheetView>
  </sheetViews>
  <sheetFormatPr defaultColWidth="9.140625" defaultRowHeight="13.5" customHeight="1"/>
  <cols>
    <col min="1" max="1" width="2.00390625" style="3" customWidth="1"/>
    <col min="2" max="2" width="4.8515625" style="1" customWidth="1"/>
    <col min="3" max="3" width="12.28125" style="4" customWidth="1"/>
    <col min="4" max="4" width="51.28125" style="11" customWidth="1"/>
    <col min="5" max="5" width="3.57421875" style="1" bestFit="1" customWidth="1"/>
    <col min="6" max="6" width="7.00390625" style="12" customWidth="1"/>
    <col min="7" max="7" width="8.8515625" style="54" customWidth="1"/>
    <col min="8" max="8" width="14.57421875" style="13" customWidth="1"/>
    <col min="9" max="9" width="12.421875" style="99" customWidth="1"/>
    <col min="10" max="10" width="12.421875" style="55" customWidth="1"/>
    <col min="11" max="12" width="10.57421875" style="46" customWidth="1"/>
    <col min="13" max="13" width="8.140625" style="3" customWidth="1"/>
    <col min="14" max="14" width="18.00390625" style="34" customWidth="1"/>
    <col min="15" max="15" width="9.57421875" style="38" bestFit="1" customWidth="1"/>
    <col min="16" max="16" width="14.7109375" style="3" customWidth="1"/>
    <col min="17" max="17" width="9.140625" style="35" customWidth="1"/>
    <col min="18" max="257" width="9.140625" style="3" customWidth="1"/>
    <col min="258" max="258" width="0.71875" style="3" customWidth="1"/>
    <col min="259" max="259" width="4.57421875" style="3" customWidth="1"/>
    <col min="260" max="260" width="11.28125" style="3" customWidth="1"/>
    <col min="261" max="261" width="52.7109375" style="3" customWidth="1"/>
    <col min="262" max="262" width="3.57421875" style="3" bestFit="1" customWidth="1"/>
    <col min="263" max="263" width="8.00390625" style="3" customWidth="1"/>
    <col min="264" max="264" width="9.7109375" style="3" customWidth="1"/>
    <col min="265" max="265" width="15.00390625" style="3" customWidth="1"/>
    <col min="266" max="266" width="15.57421875" style="3" customWidth="1"/>
    <col min="267" max="267" width="21.7109375" style="3" customWidth="1"/>
    <col min="268" max="269" width="8.140625" style="3" customWidth="1"/>
    <col min="270" max="270" width="18.00390625" style="3" customWidth="1"/>
    <col min="271" max="271" width="9.140625" style="3" customWidth="1"/>
    <col min="272" max="272" width="14.7109375" style="3" customWidth="1"/>
    <col min="273" max="513" width="9.140625" style="3" customWidth="1"/>
    <col min="514" max="514" width="0.71875" style="3" customWidth="1"/>
    <col min="515" max="515" width="4.57421875" style="3" customWidth="1"/>
    <col min="516" max="516" width="11.28125" style="3" customWidth="1"/>
    <col min="517" max="517" width="52.7109375" style="3" customWidth="1"/>
    <col min="518" max="518" width="3.57421875" style="3" bestFit="1" customWidth="1"/>
    <col min="519" max="519" width="8.00390625" style="3" customWidth="1"/>
    <col min="520" max="520" width="9.7109375" style="3" customWidth="1"/>
    <col min="521" max="521" width="15.00390625" style="3" customWidth="1"/>
    <col min="522" max="522" width="15.57421875" style="3" customWidth="1"/>
    <col min="523" max="523" width="21.7109375" style="3" customWidth="1"/>
    <col min="524" max="525" width="8.140625" style="3" customWidth="1"/>
    <col min="526" max="526" width="18.00390625" style="3" customWidth="1"/>
    <col min="527" max="527" width="9.140625" style="3" customWidth="1"/>
    <col min="528" max="528" width="14.7109375" style="3" customWidth="1"/>
    <col min="529" max="769" width="9.140625" style="3" customWidth="1"/>
    <col min="770" max="770" width="0.71875" style="3" customWidth="1"/>
    <col min="771" max="771" width="4.57421875" style="3" customWidth="1"/>
    <col min="772" max="772" width="11.28125" style="3" customWidth="1"/>
    <col min="773" max="773" width="52.7109375" style="3" customWidth="1"/>
    <col min="774" max="774" width="3.57421875" style="3" bestFit="1" customWidth="1"/>
    <col min="775" max="775" width="8.00390625" style="3" customWidth="1"/>
    <col min="776" max="776" width="9.7109375" style="3" customWidth="1"/>
    <col min="777" max="777" width="15.00390625" style="3" customWidth="1"/>
    <col min="778" max="778" width="15.57421875" style="3" customWidth="1"/>
    <col min="779" max="779" width="21.7109375" style="3" customWidth="1"/>
    <col min="780" max="781" width="8.140625" style="3" customWidth="1"/>
    <col min="782" max="782" width="18.00390625" style="3" customWidth="1"/>
    <col min="783" max="783" width="9.140625" style="3" customWidth="1"/>
    <col min="784" max="784" width="14.7109375" style="3" customWidth="1"/>
    <col min="785" max="1025" width="9.140625" style="3" customWidth="1"/>
    <col min="1026" max="1026" width="0.71875" style="3" customWidth="1"/>
    <col min="1027" max="1027" width="4.57421875" style="3" customWidth="1"/>
    <col min="1028" max="1028" width="11.28125" style="3" customWidth="1"/>
    <col min="1029" max="1029" width="52.7109375" style="3" customWidth="1"/>
    <col min="1030" max="1030" width="3.57421875" style="3" bestFit="1" customWidth="1"/>
    <col min="1031" max="1031" width="8.00390625" style="3" customWidth="1"/>
    <col min="1032" max="1032" width="9.7109375" style="3" customWidth="1"/>
    <col min="1033" max="1033" width="15.00390625" style="3" customWidth="1"/>
    <col min="1034" max="1034" width="15.57421875" style="3" customWidth="1"/>
    <col min="1035" max="1035" width="21.7109375" style="3" customWidth="1"/>
    <col min="1036" max="1037" width="8.140625" style="3" customWidth="1"/>
    <col min="1038" max="1038" width="18.00390625" style="3" customWidth="1"/>
    <col min="1039" max="1039" width="9.140625" style="3" customWidth="1"/>
    <col min="1040" max="1040" width="14.7109375" style="3" customWidth="1"/>
    <col min="1041" max="1281" width="9.140625" style="3" customWidth="1"/>
    <col min="1282" max="1282" width="0.71875" style="3" customWidth="1"/>
    <col min="1283" max="1283" width="4.57421875" style="3" customWidth="1"/>
    <col min="1284" max="1284" width="11.28125" style="3" customWidth="1"/>
    <col min="1285" max="1285" width="52.7109375" style="3" customWidth="1"/>
    <col min="1286" max="1286" width="3.57421875" style="3" bestFit="1" customWidth="1"/>
    <col min="1287" max="1287" width="8.00390625" style="3" customWidth="1"/>
    <col min="1288" max="1288" width="9.7109375" style="3" customWidth="1"/>
    <col min="1289" max="1289" width="15.00390625" style="3" customWidth="1"/>
    <col min="1290" max="1290" width="15.57421875" style="3" customWidth="1"/>
    <col min="1291" max="1291" width="21.7109375" style="3" customWidth="1"/>
    <col min="1292" max="1293" width="8.140625" style="3" customWidth="1"/>
    <col min="1294" max="1294" width="18.00390625" style="3" customWidth="1"/>
    <col min="1295" max="1295" width="9.140625" style="3" customWidth="1"/>
    <col min="1296" max="1296" width="14.7109375" style="3" customWidth="1"/>
    <col min="1297" max="1537" width="9.140625" style="3" customWidth="1"/>
    <col min="1538" max="1538" width="0.71875" style="3" customWidth="1"/>
    <col min="1539" max="1539" width="4.57421875" style="3" customWidth="1"/>
    <col min="1540" max="1540" width="11.28125" style="3" customWidth="1"/>
    <col min="1541" max="1541" width="52.7109375" style="3" customWidth="1"/>
    <col min="1542" max="1542" width="3.57421875" style="3" bestFit="1" customWidth="1"/>
    <col min="1543" max="1543" width="8.00390625" style="3" customWidth="1"/>
    <col min="1544" max="1544" width="9.7109375" style="3" customWidth="1"/>
    <col min="1545" max="1545" width="15.00390625" style="3" customWidth="1"/>
    <col min="1546" max="1546" width="15.57421875" style="3" customWidth="1"/>
    <col min="1547" max="1547" width="21.7109375" style="3" customWidth="1"/>
    <col min="1548" max="1549" width="8.140625" style="3" customWidth="1"/>
    <col min="1550" max="1550" width="18.00390625" style="3" customWidth="1"/>
    <col min="1551" max="1551" width="9.140625" style="3" customWidth="1"/>
    <col min="1552" max="1552" width="14.7109375" style="3" customWidth="1"/>
    <col min="1553" max="1793" width="9.140625" style="3" customWidth="1"/>
    <col min="1794" max="1794" width="0.71875" style="3" customWidth="1"/>
    <col min="1795" max="1795" width="4.57421875" style="3" customWidth="1"/>
    <col min="1796" max="1796" width="11.28125" style="3" customWidth="1"/>
    <col min="1797" max="1797" width="52.7109375" style="3" customWidth="1"/>
    <col min="1798" max="1798" width="3.57421875" style="3" bestFit="1" customWidth="1"/>
    <col min="1799" max="1799" width="8.00390625" style="3" customWidth="1"/>
    <col min="1800" max="1800" width="9.7109375" style="3" customWidth="1"/>
    <col min="1801" max="1801" width="15.00390625" style="3" customWidth="1"/>
    <col min="1802" max="1802" width="15.57421875" style="3" customWidth="1"/>
    <col min="1803" max="1803" width="21.7109375" style="3" customWidth="1"/>
    <col min="1804" max="1805" width="8.140625" style="3" customWidth="1"/>
    <col min="1806" max="1806" width="18.00390625" style="3" customWidth="1"/>
    <col min="1807" max="1807" width="9.140625" style="3" customWidth="1"/>
    <col min="1808" max="1808" width="14.7109375" style="3" customWidth="1"/>
    <col min="1809" max="2049" width="9.140625" style="3" customWidth="1"/>
    <col min="2050" max="2050" width="0.71875" style="3" customWidth="1"/>
    <col min="2051" max="2051" width="4.57421875" style="3" customWidth="1"/>
    <col min="2052" max="2052" width="11.28125" style="3" customWidth="1"/>
    <col min="2053" max="2053" width="52.7109375" style="3" customWidth="1"/>
    <col min="2054" max="2054" width="3.57421875" style="3" bestFit="1" customWidth="1"/>
    <col min="2055" max="2055" width="8.00390625" style="3" customWidth="1"/>
    <col min="2056" max="2056" width="9.7109375" style="3" customWidth="1"/>
    <col min="2057" max="2057" width="15.00390625" style="3" customWidth="1"/>
    <col min="2058" max="2058" width="15.57421875" style="3" customWidth="1"/>
    <col min="2059" max="2059" width="21.7109375" style="3" customWidth="1"/>
    <col min="2060" max="2061" width="8.140625" style="3" customWidth="1"/>
    <col min="2062" max="2062" width="18.00390625" style="3" customWidth="1"/>
    <col min="2063" max="2063" width="9.140625" style="3" customWidth="1"/>
    <col min="2064" max="2064" width="14.7109375" style="3" customWidth="1"/>
    <col min="2065" max="2305" width="9.140625" style="3" customWidth="1"/>
    <col min="2306" max="2306" width="0.71875" style="3" customWidth="1"/>
    <col min="2307" max="2307" width="4.57421875" style="3" customWidth="1"/>
    <col min="2308" max="2308" width="11.28125" style="3" customWidth="1"/>
    <col min="2309" max="2309" width="52.7109375" style="3" customWidth="1"/>
    <col min="2310" max="2310" width="3.57421875" style="3" bestFit="1" customWidth="1"/>
    <col min="2311" max="2311" width="8.00390625" style="3" customWidth="1"/>
    <col min="2312" max="2312" width="9.7109375" style="3" customWidth="1"/>
    <col min="2313" max="2313" width="15.00390625" style="3" customWidth="1"/>
    <col min="2314" max="2314" width="15.57421875" style="3" customWidth="1"/>
    <col min="2315" max="2315" width="21.7109375" style="3" customWidth="1"/>
    <col min="2316" max="2317" width="8.140625" style="3" customWidth="1"/>
    <col min="2318" max="2318" width="18.00390625" style="3" customWidth="1"/>
    <col min="2319" max="2319" width="9.140625" style="3" customWidth="1"/>
    <col min="2320" max="2320" width="14.7109375" style="3" customWidth="1"/>
    <col min="2321" max="2561" width="9.140625" style="3" customWidth="1"/>
    <col min="2562" max="2562" width="0.71875" style="3" customWidth="1"/>
    <col min="2563" max="2563" width="4.57421875" style="3" customWidth="1"/>
    <col min="2564" max="2564" width="11.28125" style="3" customWidth="1"/>
    <col min="2565" max="2565" width="52.7109375" style="3" customWidth="1"/>
    <col min="2566" max="2566" width="3.57421875" style="3" bestFit="1" customWidth="1"/>
    <col min="2567" max="2567" width="8.00390625" style="3" customWidth="1"/>
    <col min="2568" max="2568" width="9.7109375" style="3" customWidth="1"/>
    <col min="2569" max="2569" width="15.00390625" style="3" customWidth="1"/>
    <col min="2570" max="2570" width="15.57421875" style="3" customWidth="1"/>
    <col min="2571" max="2571" width="21.7109375" style="3" customWidth="1"/>
    <col min="2572" max="2573" width="8.140625" style="3" customWidth="1"/>
    <col min="2574" max="2574" width="18.00390625" style="3" customWidth="1"/>
    <col min="2575" max="2575" width="9.140625" style="3" customWidth="1"/>
    <col min="2576" max="2576" width="14.7109375" style="3" customWidth="1"/>
    <col min="2577" max="2817" width="9.140625" style="3" customWidth="1"/>
    <col min="2818" max="2818" width="0.71875" style="3" customWidth="1"/>
    <col min="2819" max="2819" width="4.57421875" style="3" customWidth="1"/>
    <col min="2820" max="2820" width="11.28125" style="3" customWidth="1"/>
    <col min="2821" max="2821" width="52.7109375" style="3" customWidth="1"/>
    <col min="2822" max="2822" width="3.57421875" style="3" bestFit="1" customWidth="1"/>
    <col min="2823" max="2823" width="8.00390625" style="3" customWidth="1"/>
    <col min="2824" max="2824" width="9.7109375" style="3" customWidth="1"/>
    <col min="2825" max="2825" width="15.00390625" style="3" customWidth="1"/>
    <col min="2826" max="2826" width="15.57421875" style="3" customWidth="1"/>
    <col min="2827" max="2827" width="21.7109375" style="3" customWidth="1"/>
    <col min="2828" max="2829" width="8.140625" style="3" customWidth="1"/>
    <col min="2830" max="2830" width="18.00390625" style="3" customWidth="1"/>
    <col min="2831" max="2831" width="9.140625" style="3" customWidth="1"/>
    <col min="2832" max="2832" width="14.7109375" style="3" customWidth="1"/>
    <col min="2833" max="3073" width="9.140625" style="3" customWidth="1"/>
    <col min="3074" max="3074" width="0.71875" style="3" customWidth="1"/>
    <col min="3075" max="3075" width="4.57421875" style="3" customWidth="1"/>
    <col min="3076" max="3076" width="11.28125" style="3" customWidth="1"/>
    <col min="3077" max="3077" width="52.7109375" style="3" customWidth="1"/>
    <col min="3078" max="3078" width="3.57421875" style="3" bestFit="1" customWidth="1"/>
    <col min="3079" max="3079" width="8.00390625" style="3" customWidth="1"/>
    <col min="3080" max="3080" width="9.7109375" style="3" customWidth="1"/>
    <col min="3081" max="3081" width="15.00390625" style="3" customWidth="1"/>
    <col min="3082" max="3082" width="15.57421875" style="3" customWidth="1"/>
    <col min="3083" max="3083" width="21.7109375" style="3" customWidth="1"/>
    <col min="3084" max="3085" width="8.140625" style="3" customWidth="1"/>
    <col min="3086" max="3086" width="18.00390625" style="3" customWidth="1"/>
    <col min="3087" max="3087" width="9.140625" style="3" customWidth="1"/>
    <col min="3088" max="3088" width="14.7109375" style="3" customWidth="1"/>
    <col min="3089" max="3329" width="9.140625" style="3" customWidth="1"/>
    <col min="3330" max="3330" width="0.71875" style="3" customWidth="1"/>
    <col min="3331" max="3331" width="4.57421875" style="3" customWidth="1"/>
    <col min="3332" max="3332" width="11.28125" style="3" customWidth="1"/>
    <col min="3333" max="3333" width="52.7109375" style="3" customWidth="1"/>
    <col min="3334" max="3334" width="3.57421875" style="3" bestFit="1" customWidth="1"/>
    <col min="3335" max="3335" width="8.00390625" style="3" customWidth="1"/>
    <col min="3336" max="3336" width="9.7109375" style="3" customWidth="1"/>
    <col min="3337" max="3337" width="15.00390625" style="3" customWidth="1"/>
    <col min="3338" max="3338" width="15.57421875" style="3" customWidth="1"/>
    <col min="3339" max="3339" width="21.7109375" style="3" customWidth="1"/>
    <col min="3340" max="3341" width="8.140625" style="3" customWidth="1"/>
    <col min="3342" max="3342" width="18.00390625" style="3" customWidth="1"/>
    <col min="3343" max="3343" width="9.140625" style="3" customWidth="1"/>
    <col min="3344" max="3344" width="14.7109375" style="3" customWidth="1"/>
    <col min="3345" max="3585" width="9.140625" style="3" customWidth="1"/>
    <col min="3586" max="3586" width="0.71875" style="3" customWidth="1"/>
    <col min="3587" max="3587" width="4.57421875" style="3" customWidth="1"/>
    <col min="3588" max="3588" width="11.28125" style="3" customWidth="1"/>
    <col min="3589" max="3589" width="52.7109375" style="3" customWidth="1"/>
    <col min="3590" max="3590" width="3.57421875" style="3" bestFit="1" customWidth="1"/>
    <col min="3591" max="3591" width="8.00390625" style="3" customWidth="1"/>
    <col min="3592" max="3592" width="9.7109375" style="3" customWidth="1"/>
    <col min="3593" max="3593" width="15.00390625" style="3" customWidth="1"/>
    <col min="3594" max="3594" width="15.57421875" style="3" customWidth="1"/>
    <col min="3595" max="3595" width="21.7109375" style="3" customWidth="1"/>
    <col min="3596" max="3597" width="8.140625" style="3" customWidth="1"/>
    <col min="3598" max="3598" width="18.00390625" style="3" customWidth="1"/>
    <col min="3599" max="3599" width="9.140625" style="3" customWidth="1"/>
    <col min="3600" max="3600" width="14.7109375" style="3" customWidth="1"/>
    <col min="3601" max="3841" width="9.140625" style="3" customWidth="1"/>
    <col min="3842" max="3842" width="0.71875" style="3" customWidth="1"/>
    <col min="3843" max="3843" width="4.57421875" style="3" customWidth="1"/>
    <col min="3844" max="3844" width="11.28125" style="3" customWidth="1"/>
    <col min="3845" max="3845" width="52.7109375" style="3" customWidth="1"/>
    <col min="3846" max="3846" width="3.57421875" style="3" bestFit="1" customWidth="1"/>
    <col min="3847" max="3847" width="8.00390625" style="3" customWidth="1"/>
    <col min="3848" max="3848" width="9.7109375" style="3" customWidth="1"/>
    <col min="3849" max="3849" width="15.00390625" style="3" customWidth="1"/>
    <col min="3850" max="3850" width="15.57421875" style="3" customWidth="1"/>
    <col min="3851" max="3851" width="21.7109375" style="3" customWidth="1"/>
    <col min="3852" max="3853" width="8.140625" style="3" customWidth="1"/>
    <col min="3854" max="3854" width="18.00390625" style="3" customWidth="1"/>
    <col min="3855" max="3855" width="9.140625" style="3" customWidth="1"/>
    <col min="3856" max="3856" width="14.7109375" style="3" customWidth="1"/>
    <col min="3857" max="4097" width="9.140625" style="3" customWidth="1"/>
    <col min="4098" max="4098" width="0.71875" style="3" customWidth="1"/>
    <col min="4099" max="4099" width="4.57421875" style="3" customWidth="1"/>
    <col min="4100" max="4100" width="11.28125" style="3" customWidth="1"/>
    <col min="4101" max="4101" width="52.7109375" style="3" customWidth="1"/>
    <col min="4102" max="4102" width="3.57421875" style="3" bestFit="1" customWidth="1"/>
    <col min="4103" max="4103" width="8.00390625" style="3" customWidth="1"/>
    <col min="4104" max="4104" width="9.7109375" style="3" customWidth="1"/>
    <col min="4105" max="4105" width="15.00390625" style="3" customWidth="1"/>
    <col min="4106" max="4106" width="15.57421875" style="3" customWidth="1"/>
    <col min="4107" max="4107" width="21.7109375" style="3" customWidth="1"/>
    <col min="4108" max="4109" width="8.140625" style="3" customWidth="1"/>
    <col min="4110" max="4110" width="18.00390625" style="3" customWidth="1"/>
    <col min="4111" max="4111" width="9.140625" style="3" customWidth="1"/>
    <col min="4112" max="4112" width="14.7109375" style="3" customWidth="1"/>
    <col min="4113" max="4353" width="9.140625" style="3" customWidth="1"/>
    <col min="4354" max="4354" width="0.71875" style="3" customWidth="1"/>
    <col min="4355" max="4355" width="4.57421875" style="3" customWidth="1"/>
    <col min="4356" max="4356" width="11.28125" style="3" customWidth="1"/>
    <col min="4357" max="4357" width="52.7109375" style="3" customWidth="1"/>
    <col min="4358" max="4358" width="3.57421875" style="3" bestFit="1" customWidth="1"/>
    <col min="4359" max="4359" width="8.00390625" style="3" customWidth="1"/>
    <col min="4360" max="4360" width="9.7109375" style="3" customWidth="1"/>
    <col min="4361" max="4361" width="15.00390625" style="3" customWidth="1"/>
    <col min="4362" max="4362" width="15.57421875" style="3" customWidth="1"/>
    <col min="4363" max="4363" width="21.7109375" style="3" customWidth="1"/>
    <col min="4364" max="4365" width="8.140625" style="3" customWidth="1"/>
    <col min="4366" max="4366" width="18.00390625" style="3" customWidth="1"/>
    <col min="4367" max="4367" width="9.140625" style="3" customWidth="1"/>
    <col min="4368" max="4368" width="14.7109375" style="3" customWidth="1"/>
    <col min="4369" max="4609" width="9.140625" style="3" customWidth="1"/>
    <col min="4610" max="4610" width="0.71875" style="3" customWidth="1"/>
    <col min="4611" max="4611" width="4.57421875" style="3" customWidth="1"/>
    <col min="4612" max="4612" width="11.28125" style="3" customWidth="1"/>
    <col min="4613" max="4613" width="52.7109375" style="3" customWidth="1"/>
    <col min="4614" max="4614" width="3.57421875" style="3" bestFit="1" customWidth="1"/>
    <col min="4615" max="4615" width="8.00390625" style="3" customWidth="1"/>
    <col min="4616" max="4616" width="9.7109375" style="3" customWidth="1"/>
    <col min="4617" max="4617" width="15.00390625" style="3" customWidth="1"/>
    <col min="4618" max="4618" width="15.57421875" style="3" customWidth="1"/>
    <col min="4619" max="4619" width="21.7109375" style="3" customWidth="1"/>
    <col min="4620" max="4621" width="8.140625" style="3" customWidth="1"/>
    <col min="4622" max="4622" width="18.00390625" style="3" customWidth="1"/>
    <col min="4623" max="4623" width="9.140625" style="3" customWidth="1"/>
    <col min="4624" max="4624" width="14.7109375" style="3" customWidth="1"/>
    <col min="4625" max="4865" width="9.140625" style="3" customWidth="1"/>
    <col min="4866" max="4866" width="0.71875" style="3" customWidth="1"/>
    <col min="4867" max="4867" width="4.57421875" style="3" customWidth="1"/>
    <col min="4868" max="4868" width="11.28125" style="3" customWidth="1"/>
    <col min="4869" max="4869" width="52.7109375" style="3" customWidth="1"/>
    <col min="4870" max="4870" width="3.57421875" style="3" bestFit="1" customWidth="1"/>
    <col min="4871" max="4871" width="8.00390625" style="3" customWidth="1"/>
    <col min="4872" max="4872" width="9.7109375" style="3" customWidth="1"/>
    <col min="4873" max="4873" width="15.00390625" style="3" customWidth="1"/>
    <col min="4874" max="4874" width="15.57421875" style="3" customWidth="1"/>
    <col min="4875" max="4875" width="21.7109375" style="3" customWidth="1"/>
    <col min="4876" max="4877" width="8.140625" style="3" customWidth="1"/>
    <col min="4878" max="4878" width="18.00390625" style="3" customWidth="1"/>
    <col min="4879" max="4879" width="9.140625" style="3" customWidth="1"/>
    <col min="4880" max="4880" width="14.7109375" style="3" customWidth="1"/>
    <col min="4881" max="5121" width="9.140625" style="3" customWidth="1"/>
    <col min="5122" max="5122" width="0.71875" style="3" customWidth="1"/>
    <col min="5123" max="5123" width="4.57421875" style="3" customWidth="1"/>
    <col min="5124" max="5124" width="11.28125" style="3" customWidth="1"/>
    <col min="5125" max="5125" width="52.7109375" style="3" customWidth="1"/>
    <col min="5126" max="5126" width="3.57421875" style="3" bestFit="1" customWidth="1"/>
    <col min="5127" max="5127" width="8.00390625" style="3" customWidth="1"/>
    <col min="5128" max="5128" width="9.7109375" style="3" customWidth="1"/>
    <col min="5129" max="5129" width="15.00390625" style="3" customWidth="1"/>
    <col min="5130" max="5130" width="15.57421875" style="3" customWidth="1"/>
    <col min="5131" max="5131" width="21.7109375" style="3" customWidth="1"/>
    <col min="5132" max="5133" width="8.140625" style="3" customWidth="1"/>
    <col min="5134" max="5134" width="18.00390625" style="3" customWidth="1"/>
    <col min="5135" max="5135" width="9.140625" style="3" customWidth="1"/>
    <col min="5136" max="5136" width="14.7109375" style="3" customWidth="1"/>
    <col min="5137" max="5377" width="9.140625" style="3" customWidth="1"/>
    <col min="5378" max="5378" width="0.71875" style="3" customWidth="1"/>
    <col min="5379" max="5379" width="4.57421875" style="3" customWidth="1"/>
    <col min="5380" max="5380" width="11.28125" style="3" customWidth="1"/>
    <col min="5381" max="5381" width="52.7109375" style="3" customWidth="1"/>
    <col min="5382" max="5382" width="3.57421875" style="3" bestFit="1" customWidth="1"/>
    <col min="5383" max="5383" width="8.00390625" style="3" customWidth="1"/>
    <col min="5384" max="5384" width="9.7109375" style="3" customWidth="1"/>
    <col min="5385" max="5385" width="15.00390625" style="3" customWidth="1"/>
    <col min="5386" max="5386" width="15.57421875" style="3" customWidth="1"/>
    <col min="5387" max="5387" width="21.7109375" style="3" customWidth="1"/>
    <col min="5388" max="5389" width="8.140625" style="3" customWidth="1"/>
    <col min="5390" max="5390" width="18.00390625" style="3" customWidth="1"/>
    <col min="5391" max="5391" width="9.140625" style="3" customWidth="1"/>
    <col min="5392" max="5392" width="14.7109375" style="3" customWidth="1"/>
    <col min="5393" max="5633" width="9.140625" style="3" customWidth="1"/>
    <col min="5634" max="5634" width="0.71875" style="3" customWidth="1"/>
    <col min="5635" max="5635" width="4.57421875" style="3" customWidth="1"/>
    <col min="5636" max="5636" width="11.28125" style="3" customWidth="1"/>
    <col min="5637" max="5637" width="52.7109375" style="3" customWidth="1"/>
    <col min="5638" max="5638" width="3.57421875" style="3" bestFit="1" customWidth="1"/>
    <col min="5639" max="5639" width="8.00390625" style="3" customWidth="1"/>
    <col min="5640" max="5640" width="9.7109375" style="3" customWidth="1"/>
    <col min="5641" max="5641" width="15.00390625" style="3" customWidth="1"/>
    <col min="5642" max="5642" width="15.57421875" style="3" customWidth="1"/>
    <col min="5643" max="5643" width="21.7109375" style="3" customWidth="1"/>
    <col min="5644" max="5645" width="8.140625" style="3" customWidth="1"/>
    <col min="5646" max="5646" width="18.00390625" style="3" customWidth="1"/>
    <col min="5647" max="5647" width="9.140625" style="3" customWidth="1"/>
    <col min="5648" max="5648" width="14.7109375" style="3" customWidth="1"/>
    <col min="5649" max="5889" width="9.140625" style="3" customWidth="1"/>
    <col min="5890" max="5890" width="0.71875" style="3" customWidth="1"/>
    <col min="5891" max="5891" width="4.57421875" style="3" customWidth="1"/>
    <col min="5892" max="5892" width="11.28125" style="3" customWidth="1"/>
    <col min="5893" max="5893" width="52.7109375" style="3" customWidth="1"/>
    <col min="5894" max="5894" width="3.57421875" style="3" bestFit="1" customWidth="1"/>
    <col min="5895" max="5895" width="8.00390625" style="3" customWidth="1"/>
    <col min="5896" max="5896" width="9.7109375" style="3" customWidth="1"/>
    <col min="5897" max="5897" width="15.00390625" style="3" customWidth="1"/>
    <col min="5898" max="5898" width="15.57421875" style="3" customWidth="1"/>
    <col min="5899" max="5899" width="21.7109375" style="3" customWidth="1"/>
    <col min="5900" max="5901" width="8.140625" style="3" customWidth="1"/>
    <col min="5902" max="5902" width="18.00390625" style="3" customWidth="1"/>
    <col min="5903" max="5903" width="9.140625" style="3" customWidth="1"/>
    <col min="5904" max="5904" width="14.7109375" style="3" customWidth="1"/>
    <col min="5905" max="6145" width="9.140625" style="3" customWidth="1"/>
    <col min="6146" max="6146" width="0.71875" style="3" customWidth="1"/>
    <col min="6147" max="6147" width="4.57421875" style="3" customWidth="1"/>
    <col min="6148" max="6148" width="11.28125" style="3" customWidth="1"/>
    <col min="6149" max="6149" width="52.7109375" style="3" customWidth="1"/>
    <col min="6150" max="6150" width="3.57421875" style="3" bestFit="1" customWidth="1"/>
    <col min="6151" max="6151" width="8.00390625" style="3" customWidth="1"/>
    <col min="6152" max="6152" width="9.7109375" style="3" customWidth="1"/>
    <col min="6153" max="6153" width="15.00390625" style="3" customWidth="1"/>
    <col min="6154" max="6154" width="15.57421875" style="3" customWidth="1"/>
    <col min="6155" max="6155" width="21.7109375" style="3" customWidth="1"/>
    <col min="6156" max="6157" width="8.140625" style="3" customWidth="1"/>
    <col min="6158" max="6158" width="18.00390625" style="3" customWidth="1"/>
    <col min="6159" max="6159" width="9.140625" style="3" customWidth="1"/>
    <col min="6160" max="6160" width="14.7109375" style="3" customWidth="1"/>
    <col min="6161" max="6401" width="9.140625" style="3" customWidth="1"/>
    <col min="6402" max="6402" width="0.71875" style="3" customWidth="1"/>
    <col min="6403" max="6403" width="4.57421875" style="3" customWidth="1"/>
    <col min="6404" max="6404" width="11.28125" style="3" customWidth="1"/>
    <col min="6405" max="6405" width="52.7109375" style="3" customWidth="1"/>
    <col min="6406" max="6406" width="3.57421875" style="3" bestFit="1" customWidth="1"/>
    <col min="6407" max="6407" width="8.00390625" style="3" customWidth="1"/>
    <col min="6408" max="6408" width="9.7109375" style="3" customWidth="1"/>
    <col min="6409" max="6409" width="15.00390625" style="3" customWidth="1"/>
    <col min="6410" max="6410" width="15.57421875" style="3" customWidth="1"/>
    <col min="6411" max="6411" width="21.7109375" style="3" customWidth="1"/>
    <col min="6412" max="6413" width="8.140625" style="3" customWidth="1"/>
    <col min="6414" max="6414" width="18.00390625" style="3" customWidth="1"/>
    <col min="6415" max="6415" width="9.140625" style="3" customWidth="1"/>
    <col min="6416" max="6416" width="14.7109375" style="3" customWidth="1"/>
    <col min="6417" max="6657" width="9.140625" style="3" customWidth="1"/>
    <col min="6658" max="6658" width="0.71875" style="3" customWidth="1"/>
    <col min="6659" max="6659" width="4.57421875" style="3" customWidth="1"/>
    <col min="6660" max="6660" width="11.28125" style="3" customWidth="1"/>
    <col min="6661" max="6661" width="52.7109375" style="3" customWidth="1"/>
    <col min="6662" max="6662" width="3.57421875" style="3" bestFit="1" customWidth="1"/>
    <col min="6663" max="6663" width="8.00390625" style="3" customWidth="1"/>
    <col min="6664" max="6664" width="9.7109375" style="3" customWidth="1"/>
    <col min="6665" max="6665" width="15.00390625" style="3" customWidth="1"/>
    <col min="6666" max="6666" width="15.57421875" style="3" customWidth="1"/>
    <col min="6667" max="6667" width="21.7109375" style="3" customWidth="1"/>
    <col min="6668" max="6669" width="8.140625" style="3" customWidth="1"/>
    <col min="6670" max="6670" width="18.00390625" style="3" customWidth="1"/>
    <col min="6671" max="6671" width="9.140625" style="3" customWidth="1"/>
    <col min="6672" max="6672" width="14.7109375" style="3" customWidth="1"/>
    <col min="6673" max="6913" width="9.140625" style="3" customWidth="1"/>
    <col min="6914" max="6914" width="0.71875" style="3" customWidth="1"/>
    <col min="6915" max="6915" width="4.57421875" style="3" customWidth="1"/>
    <col min="6916" max="6916" width="11.28125" style="3" customWidth="1"/>
    <col min="6917" max="6917" width="52.7109375" style="3" customWidth="1"/>
    <col min="6918" max="6918" width="3.57421875" style="3" bestFit="1" customWidth="1"/>
    <col min="6919" max="6919" width="8.00390625" style="3" customWidth="1"/>
    <col min="6920" max="6920" width="9.7109375" style="3" customWidth="1"/>
    <col min="6921" max="6921" width="15.00390625" style="3" customWidth="1"/>
    <col min="6922" max="6922" width="15.57421875" style="3" customWidth="1"/>
    <col min="6923" max="6923" width="21.7109375" style="3" customWidth="1"/>
    <col min="6924" max="6925" width="8.140625" style="3" customWidth="1"/>
    <col min="6926" max="6926" width="18.00390625" style="3" customWidth="1"/>
    <col min="6927" max="6927" width="9.140625" style="3" customWidth="1"/>
    <col min="6928" max="6928" width="14.7109375" style="3" customWidth="1"/>
    <col min="6929" max="7169" width="9.140625" style="3" customWidth="1"/>
    <col min="7170" max="7170" width="0.71875" style="3" customWidth="1"/>
    <col min="7171" max="7171" width="4.57421875" style="3" customWidth="1"/>
    <col min="7172" max="7172" width="11.28125" style="3" customWidth="1"/>
    <col min="7173" max="7173" width="52.7109375" style="3" customWidth="1"/>
    <col min="7174" max="7174" width="3.57421875" style="3" bestFit="1" customWidth="1"/>
    <col min="7175" max="7175" width="8.00390625" style="3" customWidth="1"/>
    <col min="7176" max="7176" width="9.7109375" style="3" customWidth="1"/>
    <col min="7177" max="7177" width="15.00390625" style="3" customWidth="1"/>
    <col min="7178" max="7178" width="15.57421875" style="3" customWidth="1"/>
    <col min="7179" max="7179" width="21.7109375" style="3" customWidth="1"/>
    <col min="7180" max="7181" width="8.140625" style="3" customWidth="1"/>
    <col min="7182" max="7182" width="18.00390625" style="3" customWidth="1"/>
    <col min="7183" max="7183" width="9.140625" style="3" customWidth="1"/>
    <col min="7184" max="7184" width="14.7109375" style="3" customWidth="1"/>
    <col min="7185" max="7425" width="9.140625" style="3" customWidth="1"/>
    <col min="7426" max="7426" width="0.71875" style="3" customWidth="1"/>
    <col min="7427" max="7427" width="4.57421875" style="3" customWidth="1"/>
    <col min="7428" max="7428" width="11.28125" style="3" customWidth="1"/>
    <col min="7429" max="7429" width="52.7109375" style="3" customWidth="1"/>
    <col min="7430" max="7430" width="3.57421875" style="3" bestFit="1" customWidth="1"/>
    <col min="7431" max="7431" width="8.00390625" style="3" customWidth="1"/>
    <col min="7432" max="7432" width="9.7109375" style="3" customWidth="1"/>
    <col min="7433" max="7433" width="15.00390625" style="3" customWidth="1"/>
    <col min="7434" max="7434" width="15.57421875" style="3" customWidth="1"/>
    <col min="7435" max="7435" width="21.7109375" style="3" customWidth="1"/>
    <col min="7436" max="7437" width="8.140625" style="3" customWidth="1"/>
    <col min="7438" max="7438" width="18.00390625" style="3" customWidth="1"/>
    <col min="7439" max="7439" width="9.140625" style="3" customWidth="1"/>
    <col min="7440" max="7440" width="14.7109375" style="3" customWidth="1"/>
    <col min="7441" max="7681" width="9.140625" style="3" customWidth="1"/>
    <col min="7682" max="7682" width="0.71875" style="3" customWidth="1"/>
    <col min="7683" max="7683" width="4.57421875" style="3" customWidth="1"/>
    <col min="7684" max="7684" width="11.28125" style="3" customWidth="1"/>
    <col min="7685" max="7685" width="52.7109375" style="3" customWidth="1"/>
    <col min="7686" max="7686" width="3.57421875" style="3" bestFit="1" customWidth="1"/>
    <col min="7687" max="7687" width="8.00390625" style="3" customWidth="1"/>
    <col min="7688" max="7688" width="9.7109375" style="3" customWidth="1"/>
    <col min="7689" max="7689" width="15.00390625" style="3" customWidth="1"/>
    <col min="7690" max="7690" width="15.57421875" style="3" customWidth="1"/>
    <col min="7691" max="7691" width="21.7109375" style="3" customWidth="1"/>
    <col min="7692" max="7693" width="8.140625" style="3" customWidth="1"/>
    <col min="7694" max="7694" width="18.00390625" style="3" customWidth="1"/>
    <col min="7695" max="7695" width="9.140625" style="3" customWidth="1"/>
    <col min="7696" max="7696" width="14.7109375" style="3" customWidth="1"/>
    <col min="7697" max="7937" width="9.140625" style="3" customWidth="1"/>
    <col min="7938" max="7938" width="0.71875" style="3" customWidth="1"/>
    <col min="7939" max="7939" width="4.57421875" style="3" customWidth="1"/>
    <col min="7940" max="7940" width="11.28125" style="3" customWidth="1"/>
    <col min="7941" max="7941" width="52.7109375" style="3" customWidth="1"/>
    <col min="7942" max="7942" width="3.57421875" style="3" bestFit="1" customWidth="1"/>
    <col min="7943" max="7943" width="8.00390625" style="3" customWidth="1"/>
    <col min="7944" max="7944" width="9.7109375" style="3" customWidth="1"/>
    <col min="7945" max="7945" width="15.00390625" style="3" customWidth="1"/>
    <col min="7946" max="7946" width="15.57421875" style="3" customWidth="1"/>
    <col min="7947" max="7947" width="21.7109375" style="3" customWidth="1"/>
    <col min="7948" max="7949" width="8.140625" style="3" customWidth="1"/>
    <col min="7950" max="7950" width="18.00390625" style="3" customWidth="1"/>
    <col min="7951" max="7951" width="9.140625" style="3" customWidth="1"/>
    <col min="7952" max="7952" width="14.7109375" style="3" customWidth="1"/>
    <col min="7953" max="8193" width="9.140625" style="3" customWidth="1"/>
    <col min="8194" max="8194" width="0.71875" style="3" customWidth="1"/>
    <col min="8195" max="8195" width="4.57421875" style="3" customWidth="1"/>
    <col min="8196" max="8196" width="11.28125" style="3" customWidth="1"/>
    <col min="8197" max="8197" width="52.7109375" style="3" customWidth="1"/>
    <col min="8198" max="8198" width="3.57421875" style="3" bestFit="1" customWidth="1"/>
    <col min="8199" max="8199" width="8.00390625" style="3" customWidth="1"/>
    <col min="8200" max="8200" width="9.7109375" style="3" customWidth="1"/>
    <col min="8201" max="8201" width="15.00390625" style="3" customWidth="1"/>
    <col min="8202" max="8202" width="15.57421875" style="3" customWidth="1"/>
    <col min="8203" max="8203" width="21.7109375" style="3" customWidth="1"/>
    <col min="8204" max="8205" width="8.140625" style="3" customWidth="1"/>
    <col min="8206" max="8206" width="18.00390625" style="3" customWidth="1"/>
    <col min="8207" max="8207" width="9.140625" style="3" customWidth="1"/>
    <col min="8208" max="8208" width="14.7109375" style="3" customWidth="1"/>
    <col min="8209" max="8449" width="9.140625" style="3" customWidth="1"/>
    <col min="8450" max="8450" width="0.71875" style="3" customWidth="1"/>
    <col min="8451" max="8451" width="4.57421875" style="3" customWidth="1"/>
    <col min="8452" max="8452" width="11.28125" style="3" customWidth="1"/>
    <col min="8453" max="8453" width="52.7109375" style="3" customWidth="1"/>
    <col min="8454" max="8454" width="3.57421875" style="3" bestFit="1" customWidth="1"/>
    <col min="8455" max="8455" width="8.00390625" style="3" customWidth="1"/>
    <col min="8456" max="8456" width="9.7109375" style="3" customWidth="1"/>
    <col min="8457" max="8457" width="15.00390625" style="3" customWidth="1"/>
    <col min="8458" max="8458" width="15.57421875" style="3" customWidth="1"/>
    <col min="8459" max="8459" width="21.7109375" style="3" customWidth="1"/>
    <col min="8460" max="8461" width="8.140625" style="3" customWidth="1"/>
    <col min="8462" max="8462" width="18.00390625" style="3" customWidth="1"/>
    <col min="8463" max="8463" width="9.140625" style="3" customWidth="1"/>
    <col min="8464" max="8464" width="14.7109375" style="3" customWidth="1"/>
    <col min="8465" max="8705" width="9.140625" style="3" customWidth="1"/>
    <col min="8706" max="8706" width="0.71875" style="3" customWidth="1"/>
    <col min="8707" max="8707" width="4.57421875" style="3" customWidth="1"/>
    <col min="8708" max="8708" width="11.28125" style="3" customWidth="1"/>
    <col min="8709" max="8709" width="52.7109375" style="3" customWidth="1"/>
    <col min="8710" max="8710" width="3.57421875" style="3" bestFit="1" customWidth="1"/>
    <col min="8711" max="8711" width="8.00390625" style="3" customWidth="1"/>
    <col min="8712" max="8712" width="9.7109375" style="3" customWidth="1"/>
    <col min="8713" max="8713" width="15.00390625" style="3" customWidth="1"/>
    <col min="8714" max="8714" width="15.57421875" style="3" customWidth="1"/>
    <col min="8715" max="8715" width="21.7109375" style="3" customWidth="1"/>
    <col min="8716" max="8717" width="8.140625" style="3" customWidth="1"/>
    <col min="8718" max="8718" width="18.00390625" style="3" customWidth="1"/>
    <col min="8719" max="8719" width="9.140625" style="3" customWidth="1"/>
    <col min="8720" max="8720" width="14.7109375" style="3" customWidth="1"/>
    <col min="8721" max="8961" width="9.140625" style="3" customWidth="1"/>
    <col min="8962" max="8962" width="0.71875" style="3" customWidth="1"/>
    <col min="8963" max="8963" width="4.57421875" style="3" customWidth="1"/>
    <col min="8964" max="8964" width="11.28125" style="3" customWidth="1"/>
    <col min="8965" max="8965" width="52.7109375" style="3" customWidth="1"/>
    <col min="8966" max="8966" width="3.57421875" style="3" bestFit="1" customWidth="1"/>
    <col min="8967" max="8967" width="8.00390625" style="3" customWidth="1"/>
    <col min="8968" max="8968" width="9.7109375" style="3" customWidth="1"/>
    <col min="8969" max="8969" width="15.00390625" style="3" customWidth="1"/>
    <col min="8970" max="8970" width="15.57421875" style="3" customWidth="1"/>
    <col min="8971" max="8971" width="21.7109375" style="3" customWidth="1"/>
    <col min="8972" max="8973" width="8.140625" style="3" customWidth="1"/>
    <col min="8974" max="8974" width="18.00390625" style="3" customWidth="1"/>
    <col min="8975" max="8975" width="9.140625" style="3" customWidth="1"/>
    <col min="8976" max="8976" width="14.7109375" style="3" customWidth="1"/>
    <col min="8977" max="9217" width="9.140625" style="3" customWidth="1"/>
    <col min="9218" max="9218" width="0.71875" style="3" customWidth="1"/>
    <col min="9219" max="9219" width="4.57421875" style="3" customWidth="1"/>
    <col min="9220" max="9220" width="11.28125" style="3" customWidth="1"/>
    <col min="9221" max="9221" width="52.7109375" style="3" customWidth="1"/>
    <col min="9222" max="9222" width="3.57421875" style="3" bestFit="1" customWidth="1"/>
    <col min="9223" max="9223" width="8.00390625" style="3" customWidth="1"/>
    <col min="9224" max="9224" width="9.7109375" style="3" customWidth="1"/>
    <col min="9225" max="9225" width="15.00390625" style="3" customWidth="1"/>
    <col min="9226" max="9226" width="15.57421875" style="3" customWidth="1"/>
    <col min="9227" max="9227" width="21.7109375" style="3" customWidth="1"/>
    <col min="9228" max="9229" width="8.140625" style="3" customWidth="1"/>
    <col min="9230" max="9230" width="18.00390625" style="3" customWidth="1"/>
    <col min="9231" max="9231" width="9.140625" style="3" customWidth="1"/>
    <col min="9232" max="9232" width="14.7109375" style="3" customWidth="1"/>
    <col min="9233" max="9473" width="9.140625" style="3" customWidth="1"/>
    <col min="9474" max="9474" width="0.71875" style="3" customWidth="1"/>
    <col min="9475" max="9475" width="4.57421875" style="3" customWidth="1"/>
    <col min="9476" max="9476" width="11.28125" style="3" customWidth="1"/>
    <col min="9477" max="9477" width="52.7109375" style="3" customWidth="1"/>
    <col min="9478" max="9478" width="3.57421875" style="3" bestFit="1" customWidth="1"/>
    <col min="9479" max="9479" width="8.00390625" style="3" customWidth="1"/>
    <col min="9480" max="9480" width="9.7109375" style="3" customWidth="1"/>
    <col min="9481" max="9481" width="15.00390625" style="3" customWidth="1"/>
    <col min="9482" max="9482" width="15.57421875" style="3" customWidth="1"/>
    <col min="9483" max="9483" width="21.7109375" style="3" customWidth="1"/>
    <col min="9484" max="9485" width="8.140625" style="3" customWidth="1"/>
    <col min="9486" max="9486" width="18.00390625" style="3" customWidth="1"/>
    <col min="9487" max="9487" width="9.140625" style="3" customWidth="1"/>
    <col min="9488" max="9488" width="14.7109375" style="3" customWidth="1"/>
    <col min="9489" max="9729" width="9.140625" style="3" customWidth="1"/>
    <col min="9730" max="9730" width="0.71875" style="3" customWidth="1"/>
    <col min="9731" max="9731" width="4.57421875" style="3" customWidth="1"/>
    <col min="9732" max="9732" width="11.28125" style="3" customWidth="1"/>
    <col min="9733" max="9733" width="52.7109375" style="3" customWidth="1"/>
    <col min="9734" max="9734" width="3.57421875" style="3" bestFit="1" customWidth="1"/>
    <col min="9735" max="9735" width="8.00390625" style="3" customWidth="1"/>
    <col min="9736" max="9736" width="9.7109375" style="3" customWidth="1"/>
    <col min="9737" max="9737" width="15.00390625" style="3" customWidth="1"/>
    <col min="9738" max="9738" width="15.57421875" style="3" customWidth="1"/>
    <col min="9739" max="9739" width="21.7109375" style="3" customWidth="1"/>
    <col min="9740" max="9741" width="8.140625" style="3" customWidth="1"/>
    <col min="9742" max="9742" width="18.00390625" style="3" customWidth="1"/>
    <col min="9743" max="9743" width="9.140625" style="3" customWidth="1"/>
    <col min="9744" max="9744" width="14.7109375" style="3" customWidth="1"/>
    <col min="9745" max="9985" width="9.140625" style="3" customWidth="1"/>
    <col min="9986" max="9986" width="0.71875" style="3" customWidth="1"/>
    <col min="9987" max="9987" width="4.57421875" style="3" customWidth="1"/>
    <col min="9988" max="9988" width="11.28125" style="3" customWidth="1"/>
    <col min="9989" max="9989" width="52.7109375" style="3" customWidth="1"/>
    <col min="9990" max="9990" width="3.57421875" style="3" bestFit="1" customWidth="1"/>
    <col min="9991" max="9991" width="8.00390625" style="3" customWidth="1"/>
    <col min="9992" max="9992" width="9.7109375" style="3" customWidth="1"/>
    <col min="9993" max="9993" width="15.00390625" style="3" customWidth="1"/>
    <col min="9994" max="9994" width="15.57421875" style="3" customWidth="1"/>
    <col min="9995" max="9995" width="21.7109375" style="3" customWidth="1"/>
    <col min="9996" max="9997" width="8.140625" style="3" customWidth="1"/>
    <col min="9998" max="9998" width="18.00390625" style="3" customWidth="1"/>
    <col min="9999" max="9999" width="9.140625" style="3" customWidth="1"/>
    <col min="10000" max="10000" width="14.7109375" style="3" customWidth="1"/>
    <col min="10001" max="10241" width="9.140625" style="3" customWidth="1"/>
    <col min="10242" max="10242" width="0.71875" style="3" customWidth="1"/>
    <col min="10243" max="10243" width="4.57421875" style="3" customWidth="1"/>
    <col min="10244" max="10244" width="11.28125" style="3" customWidth="1"/>
    <col min="10245" max="10245" width="52.7109375" style="3" customWidth="1"/>
    <col min="10246" max="10246" width="3.57421875" style="3" bestFit="1" customWidth="1"/>
    <col min="10247" max="10247" width="8.00390625" style="3" customWidth="1"/>
    <col min="10248" max="10248" width="9.7109375" style="3" customWidth="1"/>
    <col min="10249" max="10249" width="15.00390625" style="3" customWidth="1"/>
    <col min="10250" max="10250" width="15.57421875" style="3" customWidth="1"/>
    <col min="10251" max="10251" width="21.7109375" style="3" customWidth="1"/>
    <col min="10252" max="10253" width="8.140625" style="3" customWidth="1"/>
    <col min="10254" max="10254" width="18.00390625" style="3" customWidth="1"/>
    <col min="10255" max="10255" width="9.140625" style="3" customWidth="1"/>
    <col min="10256" max="10256" width="14.7109375" style="3" customWidth="1"/>
    <col min="10257" max="10497" width="9.140625" style="3" customWidth="1"/>
    <col min="10498" max="10498" width="0.71875" style="3" customWidth="1"/>
    <col min="10499" max="10499" width="4.57421875" style="3" customWidth="1"/>
    <col min="10500" max="10500" width="11.28125" style="3" customWidth="1"/>
    <col min="10501" max="10501" width="52.7109375" style="3" customWidth="1"/>
    <col min="10502" max="10502" width="3.57421875" style="3" bestFit="1" customWidth="1"/>
    <col min="10503" max="10503" width="8.00390625" style="3" customWidth="1"/>
    <col min="10504" max="10504" width="9.7109375" style="3" customWidth="1"/>
    <col min="10505" max="10505" width="15.00390625" style="3" customWidth="1"/>
    <col min="10506" max="10506" width="15.57421875" style="3" customWidth="1"/>
    <col min="10507" max="10507" width="21.7109375" style="3" customWidth="1"/>
    <col min="10508" max="10509" width="8.140625" style="3" customWidth="1"/>
    <col min="10510" max="10510" width="18.00390625" style="3" customWidth="1"/>
    <col min="10511" max="10511" width="9.140625" style="3" customWidth="1"/>
    <col min="10512" max="10512" width="14.7109375" style="3" customWidth="1"/>
    <col min="10513" max="10753" width="9.140625" style="3" customWidth="1"/>
    <col min="10754" max="10754" width="0.71875" style="3" customWidth="1"/>
    <col min="10755" max="10755" width="4.57421875" style="3" customWidth="1"/>
    <col min="10756" max="10756" width="11.28125" style="3" customWidth="1"/>
    <col min="10757" max="10757" width="52.7109375" style="3" customWidth="1"/>
    <col min="10758" max="10758" width="3.57421875" style="3" bestFit="1" customWidth="1"/>
    <col min="10759" max="10759" width="8.00390625" style="3" customWidth="1"/>
    <col min="10760" max="10760" width="9.7109375" style="3" customWidth="1"/>
    <col min="10761" max="10761" width="15.00390625" style="3" customWidth="1"/>
    <col min="10762" max="10762" width="15.57421875" style="3" customWidth="1"/>
    <col min="10763" max="10763" width="21.7109375" style="3" customWidth="1"/>
    <col min="10764" max="10765" width="8.140625" style="3" customWidth="1"/>
    <col min="10766" max="10766" width="18.00390625" style="3" customWidth="1"/>
    <col min="10767" max="10767" width="9.140625" style="3" customWidth="1"/>
    <col min="10768" max="10768" width="14.7109375" style="3" customWidth="1"/>
    <col min="10769" max="11009" width="9.140625" style="3" customWidth="1"/>
    <col min="11010" max="11010" width="0.71875" style="3" customWidth="1"/>
    <col min="11011" max="11011" width="4.57421875" style="3" customWidth="1"/>
    <col min="11012" max="11012" width="11.28125" style="3" customWidth="1"/>
    <col min="11013" max="11013" width="52.7109375" style="3" customWidth="1"/>
    <col min="11014" max="11014" width="3.57421875" style="3" bestFit="1" customWidth="1"/>
    <col min="11015" max="11015" width="8.00390625" style="3" customWidth="1"/>
    <col min="11016" max="11016" width="9.7109375" style="3" customWidth="1"/>
    <col min="11017" max="11017" width="15.00390625" style="3" customWidth="1"/>
    <col min="11018" max="11018" width="15.57421875" style="3" customWidth="1"/>
    <col min="11019" max="11019" width="21.7109375" style="3" customWidth="1"/>
    <col min="11020" max="11021" width="8.140625" style="3" customWidth="1"/>
    <col min="11022" max="11022" width="18.00390625" style="3" customWidth="1"/>
    <col min="11023" max="11023" width="9.140625" style="3" customWidth="1"/>
    <col min="11024" max="11024" width="14.7109375" style="3" customWidth="1"/>
    <col min="11025" max="11265" width="9.140625" style="3" customWidth="1"/>
    <col min="11266" max="11266" width="0.71875" style="3" customWidth="1"/>
    <col min="11267" max="11267" width="4.57421875" style="3" customWidth="1"/>
    <col min="11268" max="11268" width="11.28125" style="3" customWidth="1"/>
    <col min="11269" max="11269" width="52.7109375" style="3" customWidth="1"/>
    <col min="11270" max="11270" width="3.57421875" style="3" bestFit="1" customWidth="1"/>
    <col min="11271" max="11271" width="8.00390625" style="3" customWidth="1"/>
    <col min="11272" max="11272" width="9.7109375" style="3" customWidth="1"/>
    <col min="11273" max="11273" width="15.00390625" style="3" customWidth="1"/>
    <col min="11274" max="11274" width="15.57421875" style="3" customWidth="1"/>
    <col min="11275" max="11275" width="21.7109375" style="3" customWidth="1"/>
    <col min="11276" max="11277" width="8.140625" style="3" customWidth="1"/>
    <col min="11278" max="11278" width="18.00390625" style="3" customWidth="1"/>
    <col min="11279" max="11279" width="9.140625" style="3" customWidth="1"/>
    <col min="11280" max="11280" width="14.7109375" style="3" customWidth="1"/>
    <col min="11281" max="11521" width="9.140625" style="3" customWidth="1"/>
    <col min="11522" max="11522" width="0.71875" style="3" customWidth="1"/>
    <col min="11523" max="11523" width="4.57421875" style="3" customWidth="1"/>
    <col min="11524" max="11524" width="11.28125" style="3" customWidth="1"/>
    <col min="11525" max="11525" width="52.7109375" style="3" customWidth="1"/>
    <col min="11526" max="11526" width="3.57421875" style="3" bestFit="1" customWidth="1"/>
    <col min="11527" max="11527" width="8.00390625" style="3" customWidth="1"/>
    <col min="11528" max="11528" width="9.7109375" style="3" customWidth="1"/>
    <col min="11529" max="11529" width="15.00390625" style="3" customWidth="1"/>
    <col min="11530" max="11530" width="15.57421875" style="3" customWidth="1"/>
    <col min="11531" max="11531" width="21.7109375" style="3" customWidth="1"/>
    <col min="11532" max="11533" width="8.140625" style="3" customWidth="1"/>
    <col min="11534" max="11534" width="18.00390625" style="3" customWidth="1"/>
    <col min="11535" max="11535" width="9.140625" style="3" customWidth="1"/>
    <col min="11536" max="11536" width="14.7109375" style="3" customWidth="1"/>
    <col min="11537" max="11777" width="9.140625" style="3" customWidth="1"/>
    <col min="11778" max="11778" width="0.71875" style="3" customWidth="1"/>
    <col min="11779" max="11779" width="4.57421875" style="3" customWidth="1"/>
    <col min="11780" max="11780" width="11.28125" style="3" customWidth="1"/>
    <col min="11781" max="11781" width="52.7109375" style="3" customWidth="1"/>
    <col min="11782" max="11782" width="3.57421875" style="3" bestFit="1" customWidth="1"/>
    <col min="11783" max="11783" width="8.00390625" style="3" customWidth="1"/>
    <col min="11784" max="11784" width="9.7109375" style="3" customWidth="1"/>
    <col min="11785" max="11785" width="15.00390625" style="3" customWidth="1"/>
    <col min="11786" max="11786" width="15.57421875" style="3" customWidth="1"/>
    <col min="11787" max="11787" width="21.7109375" style="3" customWidth="1"/>
    <col min="11788" max="11789" width="8.140625" style="3" customWidth="1"/>
    <col min="11790" max="11790" width="18.00390625" style="3" customWidth="1"/>
    <col min="11791" max="11791" width="9.140625" style="3" customWidth="1"/>
    <col min="11792" max="11792" width="14.7109375" style="3" customWidth="1"/>
    <col min="11793" max="12033" width="9.140625" style="3" customWidth="1"/>
    <col min="12034" max="12034" width="0.71875" style="3" customWidth="1"/>
    <col min="12035" max="12035" width="4.57421875" style="3" customWidth="1"/>
    <col min="12036" max="12036" width="11.28125" style="3" customWidth="1"/>
    <col min="12037" max="12037" width="52.7109375" style="3" customWidth="1"/>
    <col min="12038" max="12038" width="3.57421875" style="3" bestFit="1" customWidth="1"/>
    <col min="12039" max="12039" width="8.00390625" style="3" customWidth="1"/>
    <col min="12040" max="12040" width="9.7109375" style="3" customWidth="1"/>
    <col min="12041" max="12041" width="15.00390625" style="3" customWidth="1"/>
    <col min="12042" max="12042" width="15.57421875" style="3" customWidth="1"/>
    <col min="12043" max="12043" width="21.7109375" style="3" customWidth="1"/>
    <col min="12044" max="12045" width="8.140625" style="3" customWidth="1"/>
    <col min="12046" max="12046" width="18.00390625" style="3" customWidth="1"/>
    <col min="12047" max="12047" width="9.140625" style="3" customWidth="1"/>
    <col min="12048" max="12048" width="14.7109375" style="3" customWidth="1"/>
    <col min="12049" max="12289" width="9.140625" style="3" customWidth="1"/>
    <col min="12290" max="12290" width="0.71875" style="3" customWidth="1"/>
    <col min="12291" max="12291" width="4.57421875" style="3" customWidth="1"/>
    <col min="12292" max="12292" width="11.28125" style="3" customWidth="1"/>
    <col min="12293" max="12293" width="52.7109375" style="3" customWidth="1"/>
    <col min="12294" max="12294" width="3.57421875" style="3" bestFit="1" customWidth="1"/>
    <col min="12295" max="12295" width="8.00390625" style="3" customWidth="1"/>
    <col min="12296" max="12296" width="9.7109375" style="3" customWidth="1"/>
    <col min="12297" max="12297" width="15.00390625" style="3" customWidth="1"/>
    <col min="12298" max="12298" width="15.57421875" style="3" customWidth="1"/>
    <col min="12299" max="12299" width="21.7109375" style="3" customWidth="1"/>
    <col min="12300" max="12301" width="8.140625" style="3" customWidth="1"/>
    <col min="12302" max="12302" width="18.00390625" style="3" customWidth="1"/>
    <col min="12303" max="12303" width="9.140625" style="3" customWidth="1"/>
    <col min="12304" max="12304" width="14.7109375" style="3" customWidth="1"/>
    <col min="12305" max="12545" width="9.140625" style="3" customWidth="1"/>
    <col min="12546" max="12546" width="0.71875" style="3" customWidth="1"/>
    <col min="12547" max="12547" width="4.57421875" style="3" customWidth="1"/>
    <col min="12548" max="12548" width="11.28125" style="3" customWidth="1"/>
    <col min="12549" max="12549" width="52.7109375" style="3" customWidth="1"/>
    <col min="12550" max="12550" width="3.57421875" style="3" bestFit="1" customWidth="1"/>
    <col min="12551" max="12551" width="8.00390625" style="3" customWidth="1"/>
    <col min="12552" max="12552" width="9.7109375" style="3" customWidth="1"/>
    <col min="12553" max="12553" width="15.00390625" style="3" customWidth="1"/>
    <col min="12554" max="12554" width="15.57421875" style="3" customWidth="1"/>
    <col min="12555" max="12555" width="21.7109375" style="3" customWidth="1"/>
    <col min="12556" max="12557" width="8.140625" style="3" customWidth="1"/>
    <col min="12558" max="12558" width="18.00390625" style="3" customWidth="1"/>
    <col min="12559" max="12559" width="9.140625" style="3" customWidth="1"/>
    <col min="12560" max="12560" width="14.7109375" style="3" customWidth="1"/>
    <col min="12561" max="12801" width="9.140625" style="3" customWidth="1"/>
    <col min="12802" max="12802" width="0.71875" style="3" customWidth="1"/>
    <col min="12803" max="12803" width="4.57421875" style="3" customWidth="1"/>
    <col min="12804" max="12804" width="11.28125" style="3" customWidth="1"/>
    <col min="12805" max="12805" width="52.7109375" style="3" customWidth="1"/>
    <col min="12806" max="12806" width="3.57421875" style="3" bestFit="1" customWidth="1"/>
    <col min="12807" max="12807" width="8.00390625" style="3" customWidth="1"/>
    <col min="12808" max="12808" width="9.7109375" style="3" customWidth="1"/>
    <col min="12809" max="12809" width="15.00390625" style="3" customWidth="1"/>
    <col min="12810" max="12810" width="15.57421875" style="3" customWidth="1"/>
    <col min="12811" max="12811" width="21.7109375" style="3" customWidth="1"/>
    <col min="12812" max="12813" width="8.140625" style="3" customWidth="1"/>
    <col min="12814" max="12814" width="18.00390625" style="3" customWidth="1"/>
    <col min="12815" max="12815" width="9.140625" style="3" customWidth="1"/>
    <col min="12816" max="12816" width="14.7109375" style="3" customWidth="1"/>
    <col min="12817" max="13057" width="9.140625" style="3" customWidth="1"/>
    <col min="13058" max="13058" width="0.71875" style="3" customWidth="1"/>
    <col min="13059" max="13059" width="4.57421875" style="3" customWidth="1"/>
    <col min="13060" max="13060" width="11.28125" style="3" customWidth="1"/>
    <col min="13061" max="13061" width="52.7109375" style="3" customWidth="1"/>
    <col min="13062" max="13062" width="3.57421875" style="3" bestFit="1" customWidth="1"/>
    <col min="13063" max="13063" width="8.00390625" style="3" customWidth="1"/>
    <col min="13064" max="13064" width="9.7109375" style="3" customWidth="1"/>
    <col min="13065" max="13065" width="15.00390625" style="3" customWidth="1"/>
    <col min="13066" max="13066" width="15.57421875" style="3" customWidth="1"/>
    <col min="13067" max="13067" width="21.7109375" style="3" customWidth="1"/>
    <col min="13068" max="13069" width="8.140625" style="3" customWidth="1"/>
    <col min="13070" max="13070" width="18.00390625" style="3" customWidth="1"/>
    <col min="13071" max="13071" width="9.140625" style="3" customWidth="1"/>
    <col min="13072" max="13072" width="14.7109375" style="3" customWidth="1"/>
    <col min="13073" max="13313" width="9.140625" style="3" customWidth="1"/>
    <col min="13314" max="13314" width="0.71875" style="3" customWidth="1"/>
    <col min="13315" max="13315" width="4.57421875" style="3" customWidth="1"/>
    <col min="13316" max="13316" width="11.28125" style="3" customWidth="1"/>
    <col min="13317" max="13317" width="52.7109375" style="3" customWidth="1"/>
    <col min="13318" max="13318" width="3.57421875" style="3" bestFit="1" customWidth="1"/>
    <col min="13319" max="13319" width="8.00390625" style="3" customWidth="1"/>
    <col min="13320" max="13320" width="9.7109375" style="3" customWidth="1"/>
    <col min="13321" max="13321" width="15.00390625" style="3" customWidth="1"/>
    <col min="13322" max="13322" width="15.57421875" style="3" customWidth="1"/>
    <col min="13323" max="13323" width="21.7109375" style="3" customWidth="1"/>
    <col min="13324" max="13325" width="8.140625" style="3" customWidth="1"/>
    <col min="13326" max="13326" width="18.00390625" style="3" customWidth="1"/>
    <col min="13327" max="13327" width="9.140625" style="3" customWidth="1"/>
    <col min="13328" max="13328" width="14.7109375" style="3" customWidth="1"/>
    <col min="13329" max="13569" width="9.140625" style="3" customWidth="1"/>
    <col min="13570" max="13570" width="0.71875" style="3" customWidth="1"/>
    <col min="13571" max="13571" width="4.57421875" style="3" customWidth="1"/>
    <col min="13572" max="13572" width="11.28125" style="3" customWidth="1"/>
    <col min="13573" max="13573" width="52.7109375" style="3" customWidth="1"/>
    <col min="13574" max="13574" width="3.57421875" style="3" bestFit="1" customWidth="1"/>
    <col min="13575" max="13575" width="8.00390625" style="3" customWidth="1"/>
    <col min="13576" max="13576" width="9.7109375" style="3" customWidth="1"/>
    <col min="13577" max="13577" width="15.00390625" style="3" customWidth="1"/>
    <col min="13578" max="13578" width="15.57421875" style="3" customWidth="1"/>
    <col min="13579" max="13579" width="21.7109375" style="3" customWidth="1"/>
    <col min="13580" max="13581" width="8.140625" style="3" customWidth="1"/>
    <col min="13582" max="13582" width="18.00390625" style="3" customWidth="1"/>
    <col min="13583" max="13583" width="9.140625" style="3" customWidth="1"/>
    <col min="13584" max="13584" width="14.7109375" style="3" customWidth="1"/>
    <col min="13585" max="13825" width="9.140625" style="3" customWidth="1"/>
    <col min="13826" max="13826" width="0.71875" style="3" customWidth="1"/>
    <col min="13827" max="13827" width="4.57421875" style="3" customWidth="1"/>
    <col min="13828" max="13828" width="11.28125" style="3" customWidth="1"/>
    <col min="13829" max="13829" width="52.7109375" style="3" customWidth="1"/>
    <col min="13830" max="13830" width="3.57421875" style="3" bestFit="1" customWidth="1"/>
    <col min="13831" max="13831" width="8.00390625" style="3" customWidth="1"/>
    <col min="13832" max="13832" width="9.7109375" style="3" customWidth="1"/>
    <col min="13833" max="13833" width="15.00390625" style="3" customWidth="1"/>
    <col min="13834" max="13834" width="15.57421875" style="3" customWidth="1"/>
    <col min="13835" max="13835" width="21.7109375" style="3" customWidth="1"/>
    <col min="13836" max="13837" width="8.140625" style="3" customWidth="1"/>
    <col min="13838" max="13838" width="18.00390625" style="3" customWidth="1"/>
    <col min="13839" max="13839" width="9.140625" style="3" customWidth="1"/>
    <col min="13840" max="13840" width="14.7109375" style="3" customWidth="1"/>
    <col min="13841" max="14081" width="9.140625" style="3" customWidth="1"/>
    <col min="14082" max="14082" width="0.71875" style="3" customWidth="1"/>
    <col min="14083" max="14083" width="4.57421875" style="3" customWidth="1"/>
    <col min="14084" max="14084" width="11.28125" style="3" customWidth="1"/>
    <col min="14085" max="14085" width="52.7109375" style="3" customWidth="1"/>
    <col min="14086" max="14086" width="3.57421875" style="3" bestFit="1" customWidth="1"/>
    <col min="14087" max="14087" width="8.00390625" style="3" customWidth="1"/>
    <col min="14088" max="14088" width="9.7109375" style="3" customWidth="1"/>
    <col min="14089" max="14089" width="15.00390625" style="3" customWidth="1"/>
    <col min="14090" max="14090" width="15.57421875" style="3" customWidth="1"/>
    <col min="14091" max="14091" width="21.7109375" style="3" customWidth="1"/>
    <col min="14092" max="14093" width="8.140625" style="3" customWidth="1"/>
    <col min="14094" max="14094" width="18.00390625" style="3" customWidth="1"/>
    <col min="14095" max="14095" width="9.140625" style="3" customWidth="1"/>
    <col min="14096" max="14096" width="14.7109375" style="3" customWidth="1"/>
    <col min="14097" max="14337" width="9.140625" style="3" customWidth="1"/>
    <col min="14338" max="14338" width="0.71875" style="3" customWidth="1"/>
    <col min="14339" max="14339" width="4.57421875" style="3" customWidth="1"/>
    <col min="14340" max="14340" width="11.28125" style="3" customWidth="1"/>
    <col min="14341" max="14341" width="52.7109375" style="3" customWidth="1"/>
    <col min="14342" max="14342" width="3.57421875" style="3" bestFit="1" customWidth="1"/>
    <col min="14343" max="14343" width="8.00390625" style="3" customWidth="1"/>
    <col min="14344" max="14344" width="9.7109375" style="3" customWidth="1"/>
    <col min="14345" max="14345" width="15.00390625" style="3" customWidth="1"/>
    <col min="14346" max="14346" width="15.57421875" style="3" customWidth="1"/>
    <col min="14347" max="14347" width="21.7109375" style="3" customWidth="1"/>
    <col min="14348" max="14349" width="8.140625" style="3" customWidth="1"/>
    <col min="14350" max="14350" width="18.00390625" style="3" customWidth="1"/>
    <col min="14351" max="14351" width="9.140625" style="3" customWidth="1"/>
    <col min="14352" max="14352" width="14.7109375" style="3" customWidth="1"/>
    <col min="14353" max="14593" width="9.140625" style="3" customWidth="1"/>
    <col min="14594" max="14594" width="0.71875" style="3" customWidth="1"/>
    <col min="14595" max="14595" width="4.57421875" style="3" customWidth="1"/>
    <col min="14596" max="14596" width="11.28125" style="3" customWidth="1"/>
    <col min="14597" max="14597" width="52.7109375" style="3" customWidth="1"/>
    <col min="14598" max="14598" width="3.57421875" style="3" bestFit="1" customWidth="1"/>
    <col min="14599" max="14599" width="8.00390625" style="3" customWidth="1"/>
    <col min="14600" max="14600" width="9.7109375" style="3" customWidth="1"/>
    <col min="14601" max="14601" width="15.00390625" style="3" customWidth="1"/>
    <col min="14602" max="14602" width="15.57421875" style="3" customWidth="1"/>
    <col min="14603" max="14603" width="21.7109375" style="3" customWidth="1"/>
    <col min="14604" max="14605" width="8.140625" style="3" customWidth="1"/>
    <col min="14606" max="14606" width="18.00390625" style="3" customWidth="1"/>
    <col min="14607" max="14607" width="9.140625" style="3" customWidth="1"/>
    <col min="14608" max="14608" width="14.7109375" style="3" customWidth="1"/>
    <col min="14609" max="14849" width="9.140625" style="3" customWidth="1"/>
    <col min="14850" max="14850" width="0.71875" style="3" customWidth="1"/>
    <col min="14851" max="14851" width="4.57421875" style="3" customWidth="1"/>
    <col min="14852" max="14852" width="11.28125" style="3" customWidth="1"/>
    <col min="14853" max="14853" width="52.7109375" style="3" customWidth="1"/>
    <col min="14854" max="14854" width="3.57421875" style="3" bestFit="1" customWidth="1"/>
    <col min="14855" max="14855" width="8.00390625" style="3" customWidth="1"/>
    <col min="14856" max="14856" width="9.7109375" style="3" customWidth="1"/>
    <col min="14857" max="14857" width="15.00390625" style="3" customWidth="1"/>
    <col min="14858" max="14858" width="15.57421875" style="3" customWidth="1"/>
    <col min="14859" max="14859" width="21.7109375" style="3" customWidth="1"/>
    <col min="14860" max="14861" width="8.140625" style="3" customWidth="1"/>
    <col min="14862" max="14862" width="18.00390625" style="3" customWidth="1"/>
    <col min="14863" max="14863" width="9.140625" style="3" customWidth="1"/>
    <col min="14864" max="14864" width="14.7109375" style="3" customWidth="1"/>
    <col min="14865" max="15105" width="9.140625" style="3" customWidth="1"/>
    <col min="15106" max="15106" width="0.71875" style="3" customWidth="1"/>
    <col min="15107" max="15107" width="4.57421875" style="3" customWidth="1"/>
    <col min="15108" max="15108" width="11.28125" style="3" customWidth="1"/>
    <col min="15109" max="15109" width="52.7109375" style="3" customWidth="1"/>
    <col min="15110" max="15110" width="3.57421875" style="3" bestFit="1" customWidth="1"/>
    <col min="15111" max="15111" width="8.00390625" style="3" customWidth="1"/>
    <col min="15112" max="15112" width="9.7109375" style="3" customWidth="1"/>
    <col min="15113" max="15113" width="15.00390625" style="3" customWidth="1"/>
    <col min="15114" max="15114" width="15.57421875" style="3" customWidth="1"/>
    <col min="15115" max="15115" width="21.7109375" style="3" customWidth="1"/>
    <col min="15116" max="15117" width="8.140625" style="3" customWidth="1"/>
    <col min="15118" max="15118" width="18.00390625" style="3" customWidth="1"/>
    <col min="15119" max="15119" width="9.140625" style="3" customWidth="1"/>
    <col min="15120" max="15120" width="14.7109375" style="3" customWidth="1"/>
    <col min="15121" max="15361" width="9.140625" style="3" customWidth="1"/>
    <col min="15362" max="15362" width="0.71875" style="3" customWidth="1"/>
    <col min="15363" max="15363" width="4.57421875" style="3" customWidth="1"/>
    <col min="15364" max="15364" width="11.28125" style="3" customWidth="1"/>
    <col min="15365" max="15365" width="52.7109375" style="3" customWidth="1"/>
    <col min="15366" max="15366" width="3.57421875" style="3" bestFit="1" customWidth="1"/>
    <col min="15367" max="15367" width="8.00390625" style="3" customWidth="1"/>
    <col min="15368" max="15368" width="9.7109375" style="3" customWidth="1"/>
    <col min="15369" max="15369" width="15.00390625" style="3" customWidth="1"/>
    <col min="15370" max="15370" width="15.57421875" style="3" customWidth="1"/>
    <col min="15371" max="15371" width="21.7109375" style="3" customWidth="1"/>
    <col min="15372" max="15373" width="8.140625" style="3" customWidth="1"/>
    <col min="15374" max="15374" width="18.00390625" style="3" customWidth="1"/>
    <col min="15375" max="15375" width="9.140625" style="3" customWidth="1"/>
    <col min="15376" max="15376" width="14.7109375" style="3" customWidth="1"/>
    <col min="15377" max="15617" width="9.140625" style="3" customWidth="1"/>
    <col min="15618" max="15618" width="0.71875" style="3" customWidth="1"/>
    <col min="15619" max="15619" width="4.57421875" style="3" customWidth="1"/>
    <col min="15620" max="15620" width="11.28125" style="3" customWidth="1"/>
    <col min="15621" max="15621" width="52.7109375" style="3" customWidth="1"/>
    <col min="15622" max="15622" width="3.57421875" style="3" bestFit="1" customWidth="1"/>
    <col min="15623" max="15623" width="8.00390625" style="3" customWidth="1"/>
    <col min="15624" max="15624" width="9.7109375" style="3" customWidth="1"/>
    <col min="15625" max="15625" width="15.00390625" style="3" customWidth="1"/>
    <col min="15626" max="15626" width="15.57421875" style="3" customWidth="1"/>
    <col min="15627" max="15627" width="21.7109375" style="3" customWidth="1"/>
    <col min="15628" max="15629" width="8.140625" style="3" customWidth="1"/>
    <col min="15630" max="15630" width="18.00390625" style="3" customWidth="1"/>
    <col min="15631" max="15631" width="9.140625" style="3" customWidth="1"/>
    <col min="15632" max="15632" width="14.7109375" style="3" customWidth="1"/>
    <col min="15633" max="15873" width="9.140625" style="3" customWidth="1"/>
    <col min="15874" max="15874" width="0.71875" style="3" customWidth="1"/>
    <col min="15875" max="15875" width="4.57421875" style="3" customWidth="1"/>
    <col min="15876" max="15876" width="11.28125" style="3" customWidth="1"/>
    <col min="15877" max="15877" width="52.7109375" style="3" customWidth="1"/>
    <col min="15878" max="15878" width="3.57421875" style="3" bestFit="1" customWidth="1"/>
    <col min="15879" max="15879" width="8.00390625" style="3" customWidth="1"/>
    <col min="15880" max="15880" width="9.7109375" style="3" customWidth="1"/>
    <col min="15881" max="15881" width="15.00390625" style="3" customWidth="1"/>
    <col min="15882" max="15882" width="15.57421875" style="3" customWidth="1"/>
    <col min="15883" max="15883" width="21.7109375" style="3" customWidth="1"/>
    <col min="15884" max="15885" width="8.140625" style="3" customWidth="1"/>
    <col min="15886" max="15886" width="18.00390625" style="3" customWidth="1"/>
    <col min="15887" max="15887" width="9.140625" style="3" customWidth="1"/>
    <col min="15888" max="15888" width="14.7109375" style="3" customWidth="1"/>
    <col min="15889" max="16129" width="9.140625" style="3" customWidth="1"/>
    <col min="16130" max="16130" width="0.71875" style="3" customWidth="1"/>
    <col min="16131" max="16131" width="4.57421875" style="3" customWidth="1"/>
    <col min="16132" max="16132" width="11.28125" style="3" customWidth="1"/>
    <col min="16133" max="16133" width="52.7109375" style="3" customWidth="1"/>
    <col min="16134" max="16134" width="3.57421875" style="3" bestFit="1" customWidth="1"/>
    <col min="16135" max="16135" width="8.00390625" style="3" customWidth="1"/>
    <col min="16136" max="16136" width="9.7109375" style="3" customWidth="1"/>
    <col min="16137" max="16137" width="15.00390625" style="3" customWidth="1"/>
    <col min="16138" max="16138" width="15.57421875" style="3" customWidth="1"/>
    <col min="16139" max="16139" width="21.7109375" style="3" customWidth="1"/>
    <col min="16140" max="16141" width="8.140625" style="3" customWidth="1"/>
    <col min="16142" max="16142" width="18.00390625" style="3" customWidth="1"/>
    <col min="16143" max="16143" width="9.140625" style="3" customWidth="1"/>
    <col min="16144" max="16144" width="14.7109375" style="3" customWidth="1"/>
    <col min="16145" max="16384" width="9.140625" style="3" customWidth="1"/>
  </cols>
  <sheetData>
    <row r="1" spans="2:9" ht="18">
      <c r="B1" s="138" t="s">
        <v>161</v>
      </c>
      <c r="C1" s="138"/>
      <c r="D1" s="138"/>
      <c r="E1" s="138"/>
      <c r="F1" s="138"/>
      <c r="G1" s="138"/>
      <c r="H1" s="138"/>
      <c r="I1" s="103"/>
    </row>
    <row r="2" spans="2:9" ht="18">
      <c r="B2" s="138" t="s">
        <v>167</v>
      </c>
      <c r="C2" s="138"/>
      <c r="D2" s="138"/>
      <c r="E2" s="138"/>
      <c r="F2" s="138"/>
      <c r="G2" s="138"/>
      <c r="H2" s="138"/>
      <c r="I2" s="103"/>
    </row>
    <row r="3" spans="2:9" ht="18">
      <c r="B3" s="103"/>
      <c r="C3" s="103"/>
      <c r="D3" s="141" t="s">
        <v>168</v>
      </c>
      <c r="E3" s="71"/>
      <c r="F3" s="71"/>
      <c r="G3" s="71"/>
      <c r="H3" s="103"/>
      <c r="I3" s="103"/>
    </row>
    <row r="4" spans="2:9" ht="18">
      <c r="B4" s="103"/>
      <c r="C4" s="103"/>
      <c r="D4" s="103"/>
      <c r="E4" s="71"/>
      <c r="F4" s="71"/>
      <c r="G4" s="71"/>
      <c r="H4" s="103"/>
      <c r="I4" s="103"/>
    </row>
    <row r="5" ht="12.75">
      <c r="B5" s="11" t="s">
        <v>33</v>
      </c>
    </row>
    <row r="6" spans="2:3" ht="12.75">
      <c r="B6" s="11" t="s">
        <v>12</v>
      </c>
      <c r="C6" s="1"/>
    </row>
    <row r="7" spans="2:3" ht="12.75">
      <c r="B7" s="11" t="s">
        <v>160</v>
      </c>
      <c r="C7" s="1"/>
    </row>
    <row r="8" spans="2:3" ht="12.75">
      <c r="B8" s="11"/>
      <c r="C8" s="1"/>
    </row>
    <row r="9" spans="2:3" ht="12.75">
      <c r="B9" s="11"/>
      <c r="C9" s="1"/>
    </row>
    <row r="10" spans="2:3" ht="12.75">
      <c r="B10" s="11"/>
      <c r="C10" s="1"/>
    </row>
    <row r="11" spans="2:17" s="18" customFormat="1" ht="18">
      <c r="B11" s="19"/>
      <c r="C11" s="20"/>
      <c r="D11" s="21" t="s">
        <v>64</v>
      </c>
      <c r="E11" s="22"/>
      <c r="F11" s="23"/>
      <c r="G11" s="139"/>
      <c r="H11" s="139"/>
      <c r="I11" s="104"/>
      <c r="J11" s="55"/>
      <c r="K11" s="49"/>
      <c r="L11" s="46"/>
      <c r="M11" s="20"/>
      <c r="N11" s="24"/>
      <c r="O11" s="39"/>
      <c r="Q11" s="24"/>
    </row>
    <row r="12" spans="4:14" ht="12.75">
      <c r="D12" s="14" t="str">
        <f>+B1</f>
        <v>NÁHRADNÍ VÝSADBY DŘEVIN - JARO 2018</v>
      </c>
      <c r="J12" s="56"/>
      <c r="M12" s="4"/>
      <c r="N12" s="35"/>
    </row>
    <row r="13" spans="10:14" ht="12.75">
      <c r="J13" s="56"/>
      <c r="K13" s="47"/>
      <c r="L13" s="47"/>
      <c r="M13" s="4"/>
      <c r="N13" s="35"/>
    </row>
    <row r="14" spans="4:14" ht="12.75">
      <c r="D14" s="14" t="str">
        <f>+D36</f>
        <v>Celkem za odstranění nevhodných dřevin bez DPH</v>
      </c>
      <c r="E14" s="15"/>
      <c r="F14" s="16"/>
      <c r="G14" s="59"/>
      <c r="H14" s="17">
        <f>+H36</f>
        <v>0</v>
      </c>
      <c r="I14" s="100"/>
      <c r="M14" s="4"/>
      <c r="N14" s="35"/>
    </row>
    <row r="15" spans="4:14" ht="12.75">
      <c r="D15" s="14" t="str">
        <f>+D42</f>
        <v>Celkem za vytyčení inženýrských sítí - soubor bez DPH</v>
      </c>
      <c r="E15" s="15"/>
      <c r="F15" s="16"/>
      <c r="G15" s="59"/>
      <c r="H15" s="17">
        <f>+H42</f>
        <v>0</v>
      </c>
      <c r="I15" s="100"/>
      <c r="M15" s="4"/>
      <c r="N15" s="35"/>
    </row>
    <row r="16" spans="4:14" ht="12.75">
      <c r="D16" s="14" t="str">
        <f>D106</f>
        <v>Celkem za výsadbu stromů a keřů včetně materiálu bez DPH</v>
      </c>
      <c r="E16" s="15"/>
      <c r="F16" s="16"/>
      <c r="G16" s="59"/>
      <c r="H16" s="17">
        <f>+H106</f>
        <v>0</v>
      </c>
      <c r="I16" s="100"/>
      <c r="M16" s="4"/>
      <c r="N16" s="35"/>
    </row>
    <row r="17" spans="4:14" ht="12.75">
      <c r="D17" s="14" t="str">
        <f>+D121</f>
        <v>Celkem za následnou péči po dobu 1. roku bez DPH</v>
      </c>
      <c r="E17" s="15"/>
      <c r="F17" s="16"/>
      <c r="G17" s="59"/>
      <c r="H17" s="17">
        <f>+H121</f>
        <v>0</v>
      </c>
      <c r="I17" s="100"/>
      <c r="M17" s="4"/>
      <c r="N17" s="35"/>
    </row>
    <row r="18" spans="4:14" ht="12.75">
      <c r="D18" s="14" t="str">
        <f>+D144</f>
        <v>Celkem za následnou péči po dobu 2. roku bez DPH</v>
      </c>
      <c r="E18" s="15"/>
      <c r="F18" s="16"/>
      <c r="G18" s="59"/>
      <c r="H18" s="17">
        <f>+H144</f>
        <v>0</v>
      </c>
      <c r="I18" s="100"/>
      <c r="M18" s="4"/>
      <c r="N18" s="35"/>
    </row>
    <row r="19" spans="4:14" ht="12.75">
      <c r="D19" s="14" t="str">
        <f>+D173</f>
        <v>Celkem za následnou péči po dobu 3. roku bez DPH</v>
      </c>
      <c r="E19" s="15"/>
      <c r="F19" s="16"/>
      <c r="G19" s="59"/>
      <c r="H19" s="17">
        <f>+H173</f>
        <v>0</v>
      </c>
      <c r="I19" s="100"/>
      <c r="M19" s="4"/>
      <c r="N19" s="35"/>
    </row>
    <row r="20" spans="4:14" ht="12.75">
      <c r="D20" s="14"/>
      <c r="E20" s="15"/>
      <c r="F20" s="16"/>
      <c r="G20" s="59"/>
      <c r="H20" s="17"/>
      <c r="I20" s="100"/>
      <c r="K20" s="48"/>
      <c r="M20" s="4"/>
      <c r="N20" s="35"/>
    </row>
    <row r="21" spans="2:17" s="18" customFormat="1" ht="18">
      <c r="B21" s="19"/>
      <c r="C21" s="20"/>
      <c r="D21" s="21" t="s">
        <v>13</v>
      </c>
      <c r="E21" s="22"/>
      <c r="F21" s="23"/>
      <c r="G21" s="139">
        <f>SUM(H14:H19)</f>
        <v>0</v>
      </c>
      <c r="H21" s="139"/>
      <c r="I21" s="104"/>
      <c r="J21" s="55"/>
      <c r="K21" s="49"/>
      <c r="L21" s="46"/>
      <c r="M21" s="20"/>
      <c r="N21" s="24"/>
      <c r="O21" s="39"/>
      <c r="Q21" s="24"/>
    </row>
    <row r="22" spans="4:14" ht="12.75">
      <c r="D22" s="14" t="s">
        <v>36</v>
      </c>
      <c r="E22" s="15"/>
      <c r="F22" s="16"/>
      <c r="G22" s="1"/>
      <c r="H22" s="17">
        <f>+G21*0.21</f>
        <v>0</v>
      </c>
      <c r="I22" s="100"/>
      <c r="M22" s="4"/>
      <c r="N22" s="35"/>
    </row>
    <row r="23" spans="4:14" ht="12.75">
      <c r="D23" s="14" t="s">
        <v>35</v>
      </c>
      <c r="E23" s="15"/>
      <c r="F23" s="16"/>
      <c r="G23" s="1"/>
      <c r="H23" s="17">
        <f>+G21+H22</f>
        <v>0</v>
      </c>
      <c r="I23" s="100"/>
      <c r="M23" s="4"/>
      <c r="N23" s="35"/>
    </row>
    <row r="24" spans="2:17" s="18" customFormat="1" ht="18">
      <c r="B24" s="19"/>
      <c r="C24" s="20"/>
      <c r="D24" s="21"/>
      <c r="E24" s="22"/>
      <c r="F24" s="23"/>
      <c r="G24" s="72"/>
      <c r="H24" s="104"/>
      <c r="I24" s="104"/>
      <c r="J24" s="55"/>
      <c r="K24" s="50"/>
      <c r="L24" s="46"/>
      <c r="M24" s="20"/>
      <c r="N24" s="24"/>
      <c r="O24" s="39"/>
      <c r="Q24" s="24"/>
    </row>
    <row r="25" spans="3:17" ht="12.75">
      <c r="C25" s="73"/>
      <c r="D25" s="14"/>
      <c r="E25" s="15"/>
      <c r="F25" s="16"/>
      <c r="G25" s="59"/>
      <c r="H25" s="25"/>
      <c r="I25" s="60"/>
      <c r="J25" s="3"/>
      <c r="K25" s="14"/>
      <c r="L25" s="3"/>
      <c r="M25" s="4"/>
      <c r="N25" s="3"/>
      <c r="O25" s="3"/>
      <c r="Q25" s="3"/>
    </row>
    <row r="26" spans="3:17" ht="12.75">
      <c r="C26" s="73"/>
      <c r="D26" s="14"/>
      <c r="E26" s="15"/>
      <c r="F26" s="16"/>
      <c r="G26" s="59"/>
      <c r="H26" s="25"/>
      <c r="I26" s="60"/>
      <c r="J26" s="3"/>
      <c r="K26" s="4"/>
      <c r="L26" s="3"/>
      <c r="M26" s="4"/>
      <c r="N26" s="3"/>
      <c r="O26" s="3"/>
      <c r="Q26" s="3"/>
    </row>
    <row r="27" spans="3:17" ht="12.75">
      <c r="C27" s="73"/>
      <c r="D27" s="14"/>
      <c r="E27" s="15"/>
      <c r="F27" s="16"/>
      <c r="G27" s="59"/>
      <c r="H27" s="25"/>
      <c r="I27" s="60"/>
      <c r="J27" s="3"/>
      <c r="K27" s="4"/>
      <c r="L27" s="3"/>
      <c r="M27" s="4"/>
      <c r="N27" s="3"/>
      <c r="O27" s="3"/>
      <c r="Q27" s="3"/>
    </row>
    <row r="28" spans="3:17" ht="12.75">
      <c r="C28" s="73"/>
      <c r="D28" s="14"/>
      <c r="E28" s="15"/>
      <c r="F28" s="16"/>
      <c r="G28" s="59"/>
      <c r="H28" s="25"/>
      <c r="I28" s="60"/>
      <c r="J28" s="3"/>
      <c r="K28" s="4"/>
      <c r="L28" s="3"/>
      <c r="M28" s="4"/>
      <c r="N28" s="3"/>
      <c r="O28" s="3"/>
      <c r="Q28" s="3"/>
    </row>
    <row r="29" spans="2:17" ht="13.5" thickBot="1">
      <c r="B29" s="1" t="s">
        <v>3</v>
      </c>
      <c r="C29" s="2" t="s">
        <v>61</v>
      </c>
      <c r="E29" s="1" t="s">
        <v>4</v>
      </c>
      <c r="F29" s="12" t="s">
        <v>5</v>
      </c>
      <c r="G29" s="54" t="s">
        <v>6</v>
      </c>
      <c r="H29" s="13" t="s">
        <v>7</v>
      </c>
      <c r="I29" s="4"/>
      <c r="J29" s="74"/>
      <c r="K29" s="70"/>
      <c r="L29" s="3"/>
      <c r="M29" s="4"/>
      <c r="N29" s="3"/>
      <c r="O29" s="3"/>
      <c r="Q29" s="3"/>
    </row>
    <row r="30" spans="2:12" s="27" customFormat="1" ht="25.5">
      <c r="B30" s="5">
        <v>1</v>
      </c>
      <c r="C30" s="75" t="s">
        <v>39</v>
      </c>
      <c r="D30" s="76" t="s">
        <v>149</v>
      </c>
      <c r="E30" s="29" t="s">
        <v>0</v>
      </c>
      <c r="F30" s="77">
        <v>70</v>
      </c>
      <c r="G30" s="142"/>
      <c r="H30" s="30">
        <f aca="true" t="shared" si="0" ref="H30">+F30*G30</f>
        <v>0</v>
      </c>
      <c r="I30" s="60"/>
      <c r="K30" s="78"/>
      <c r="L30" s="79"/>
    </row>
    <row r="31" spans="2:12" s="27" customFormat="1" ht="25.5">
      <c r="B31" s="6">
        <v>2</v>
      </c>
      <c r="C31" s="80" t="s">
        <v>151</v>
      </c>
      <c r="D31" s="8" t="s">
        <v>150</v>
      </c>
      <c r="E31" s="42" t="s">
        <v>1</v>
      </c>
      <c r="F31" s="105">
        <v>3</v>
      </c>
      <c r="G31" s="143"/>
      <c r="H31" s="9">
        <f aca="true" t="shared" si="1" ref="H31">+F31*G31</f>
        <v>0</v>
      </c>
      <c r="I31" s="60"/>
      <c r="K31" s="78"/>
      <c r="L31" s="79"/>
    </row>
    <row r="32" spans="2:12" s="27" customFormat="1" ht="25.5">
      <c r="B32" s="6">
        <v>3</v>
      </c>
      <c r="C32" s="80" t="s">
        <v>62</v>
      </c>
      <c r="D32" s="8" t="s">
        <v>77</v>
      </c>
      <c r="E32" s="42" t="s">
        <v>1</v>
      </c>
      <c r="F32" s="105">
        <v>1</v>
      </c>
      <c r="G32" s="143"/>
      <c r="H32" s="9">
        <f aca="true" t="shared" si="2" ref="H32:H34">G32*F32</f>
        <v>0</v>
      </c>
      <c r="I32" s="60"/>
      <c r="K32" s="78"/>
      <c r="L32" s="79"/>
    </row>
    <row r="33" spans="2:17" ht="12.75">
      <c r="B33" s="6">
        <v>4</v>
      </c>
      <c r="C33" s="81" t="s">
        <v>40</v>
      </c>
      <c r="D33" s="43" t="s">
        <v>41</v>
      </c>
      <c r="E33" s="42" t="s">
        <v>0</v>
      </c>
      <c r="F33" s="58">
        <f>+F30</f>
        <v>70</v>
      </c>
      <c r="G33" s="143"/>
      <c r="H33" s="9">
        <f t="shared" si="2"/>
        <v>0</v>
      </c>
      <c r="I33" s="26"/>
      <c r="J33" s="4"/>
      <c r="K33" s="3"/>
      <c r="L33" s="4"/>
      <c r="N33" s="4"/>
      <c r="O33" s="3"/>
      <c r="Q33" s="3"/>
    </row>
    <row r="34" spans="2:17" ht="12.75">
      <c r="B34" s="6">
        <v>5</v>
      </c>
      <c r="C34" s="42" t="s">
        <v>42</v>
      </c>
      <c r="D34" s="43" t="s">
        <v>78</v>
      </c>
      <c r="E34" s="42" t="s">
        <v>1</v>
      </c>
      <c r="F34" s="58">
        <v>1</v>
      </c>
      <c r="G34" s="143"/>
      <c r="H34" s="9">
        <f t="shared" si="2"/>
        <v>0</v>
      </c>
      <c r="I34" s="26"/>
      <c r="J34" s="4"/>
      <c r="K34" s="3"/>
      <c r="L34" s="4"/>
      <c r="N34" s="4"/>
      <c r="O34" s="3"/>
      <c r="Q34" s="3"/>
    </row>
    <row r="35" spans="2:12" s="27" customFormat="1" ht="51.75" thickBot="1">
      <c r="B35" s="84">
        <v>6</v>
      </c>
      <c r="C35" s="85" t="s">
        <v>42</v>
      </c>
      <c r="D35" s="86" t="s">
        <v>164</v>
      </c>
      <c r="E35" s="85" t="s">
        <v>0</v>
      </c>
      <c r="F35" s="110">
        <f>6+28</f>
        <v>34</v>
      </c>
      <c r="G35" s="144"/>
      <c r="H35" s="89">
        <f>G35*F35</f>
        <v>0</v>
      </c>
      <c r="I35" s="60"/>
      <c r="K35" s="78"/>
      <c r="L35" s="79"/>
    </row>
    <row r="36" spans="1:17" s="10" customFormat="1" ht="12.75">
      <c r="A36" s="3"/>
      <c r="B36" s="15"/>
      <c r="C36" s="28"/>
      <c r="D36" s="14" t="s">
        <v>63</v>
      </c>
      <c r="E36" s="15"/>
      <c r="F36" s="59"/>
      <c r="G36" s="59"/>
      <c r="H36" s="17">
        <f>SUM(H30:H35)</f>
        <v>0</v>
      </c>
      <c r="I36" s="101"/>
      <c r="J36" s="78"/>
      <c r="K36" s="79"/>
      <c r="L36" s="27"/>
      <c r="M36" s="78"/>
      <c r="N36" s="44"/>
      <c r="O36" s="44"/>
      <c r="Q36" s="44"/>
    </row>
    <row r="37" spans="1:17" s="10" customFormat="1" ht="12.75">
      <c r="A37" s="3"/>
      <c r="B37" s="15"/>
      <c r="C37" s="28"/>
      <c r="D37" s="14"/>
      <c r="E37" s="15"/>
      <c r="F37" s="59"/>
      <c r="G37" s="59"/>
      <c r="H37" s="17"/>
      <c r="I37" s="101"/>
      <c r="J37" s="78"/>
      <c r="K37" s="79"/>
      <c r="L37" s="27"/>
      <c r="M37" s="78"/>
      <c r="N37" s="44"/>
      <c r="O37" s="44"/>
      <c r="Q37" s="44"/>
    </row>
    <row r="38" spans="1:17" s="10" customFormat="1" ht="12.75">
      <c r="A38" s="3"/>
      <c r="B38" s="15"/>
      <c r="C38" s="28"/>
      <c r="D38" s="14"/>
      <c r="E38" s="15"/>
      <c r="F38" s="59"/>
      <c r="G38" s="59"/>
      <c r="H38" s="17"/>
      <c r="I38" s="101"/>
      <c r="J38" s="78"/>
      <c r="K38" s="79"/>
      <c r="L38" s="27"/>
      <c r="M38" s="78"/>
      <c r="N38" s="44"/>
      <c r="O38" s="44"/>
      <c r="Q38" s="44"/>
    </row>
    <row r="39" spans="1:17" s="10" customFormat="1" ht="12.75">
      <c r="A39" s="3"/>
      <c r="B39" s="15"/>
      <c r="C39" s="28"/>
      <c r="D39" s="14"/>
      <c r="E39" s="15"/>
      <c r="F39" s="59"/>
      <c r="G39" s="59"/>
      <c r="H39" s="17"/>
      <c r="I39" s="101"/>
      <c r="J39" s="78"/>
      <c r="K39" s="79"/>
      <c r="L39" s="27"/>
      <c r="M39" s="78"/>
      <c r="N39" s="44"/>
      <c r="O39" s="44"/>
      <c r="Q39" s="44"/>
    </row>
    <row r="40" spans="2:17" ht="13.5" thickBot="1">
      <c r="B40" s="1" t="s">
        <v>3</v>
      </c>
      <c r="C40" s="2" t="s">
        <v>152</v>
      </c>
      <c r="E40" s="1" t="s">
        <v>4</v>
      </c>
      <c r="F40" s="12" t="s">
        <v>5</v>
      </c>
      <c r="G40" s="54" t="s">
        <v>6</v>
      </c>
      <c r="H40" s="13" t="s">
        <v>7</v>
      </c>
      <c r="I40" s="4"/>
      <c r="J40" s="74"/>
      <c r="K40" s="70"/>
      <c r="L40" s="3"/>
      <c r="M40" s="4"/>
      <c r="N40" s="3"/>
      <c r="O40" s="3"/>
      <c r="Q40" s="3"/>
    </row>
    <row r="41" spans="2:12" s="27" customFormat="1" ht="13.5" thickBot="1">
      <c r="B41" s="111">
        <v>7</v>
      </c>
      <c r="C41" s="113" t="s">
        <v>42</v>
      </c>
      <c r="D41" s="112" t="s">
        <v>153</v>
      </c>
      <c r="E41" s="113" t="s">
        <v>1</v>
      </c>
      <c r="F41" s="114">
        <v>1</v>
      </c>
      <c r="G41" s="145"/>
      <c r="H41" s="115">
        <f aca="true" t="shared" si="3" ref="H41">+F41*G41</f>
        <v>0</v>
      </c>
      <c r="I41" s="60"/>
      <c r="K41" s="78"/>
      <c r="L41" s="79"/>
    </row>
    <row r="42" spans="2:12" s="27" customFormat="1" ht="12.75">
      <c r="B42" s="1"/>
      <c r="D42" s="14" t="s">
        <v>162</v>
      </c>
      <c r="E42" s="1"/>
      <c r="F42" s="54"/>
      <c r="G42" s="54"/>
      <c r="H42" s="17">
        <f>SUM(H41)</f>
        <v>0</v>
      </c>
      <c r="I42" s="60"/>
      <c r="K42" s="78"/>
      <c r="L42" s="79"/>
    </row>
    <row r="43" spans="2:12" s="27" customFormat="1" ht="12.75">
      <c r="B43" s="1"/>
      <c r="D43" s="116"/>
      <c r="E43" s="1"/>
      <c r="F43" s="54"/>
      <c r="G43" s="54"/>
      <c r="H43" s="13"/>
      <c r="I43" s="60"/>
      <c r="K43" s="78"/>
      <c r="L43" s="79"/>
    </row>
    <row r="44" spans="1:17" s="10" customFormat="1" ht="12.75">
      <c r="A44" s="3"/>
      <c r="B44" s="15"/>
      <c r="C44" s="28"/>
      <c r="D44" s="14"/>
      <c r="E44" s="15"/>
      <c r="F44" s="59"/>
      <c r="G44" s="59"/>
      <c r="H44" s="17"/>
      <c r="I44" s="101"/>
      <c r="J44" s="78"/>
      <c r="K44" s="79"/>
      <c r="L44" s="27"/>
      <c r="M44" s="78"/>
      <c r="N44" s="44"/>
      <c r="O44" s="44"/>
      <c r="Q44" s="44"/>
    </row>
    <row r="45" spans="2:11" ht="13.5" thickBot="1">
      <c r="B45" s="1" t="s">
        <v>3</v>
      </c>
      <c r="C45" s="2" t="s">
        <v>15</v>
      </c>
      <c r="E45" s="1" t="s">
        <v>4</v>
      </c>
      <c r="F45" s="54" t="s">
        <v>5</v>
      </c>
      <c r="G45" s="54" t="s">
        <v>6</v>
      </c>
      <c r="H45" s="13" t="s">
        <v>7</v>
      </c>
      <c r="K45" s="51"/>
    </row>
    <row r="46" spans="2:17" s="27" customFormat="1" ht="25.5">
      <c r="B46" s="5">
        <v>8</v>
      </c>
      <c r="C46" s="29" t="s">
        <v>76</v>
      </c>
      <c r="D46" s="76" t="s">
        <v>165</v>
      </c>
      <c r="E46" s="29" t="s">
        <v>0</v>
      </c>
      <c r="F46" s="77">
        <v>70</v>
      </c>
      <c r="G46" s="142"/>
      <c r="H46" s="30">
        <f>G46*F46</f>
        <v>0</v>
      </c>
      <c r="I46" s="99"/>
      <c r="J46" s="55"/>
      <c r="K46" s="48"/>
      <c r="L46" s="48"/>
      <c r="M46" s="79"/>
      <c r="N46" s="36"/>
      <c r="O46" s="40"/>
      <c r="Q46" s="36"/>
    </row>
    <row r="47" spans="1:17" s="108" customFormat="1" ht="12.75">
      <c r="A47" s="3"/>
      <c r="B47" s="6">
        <v>9</v>
      </c>
      <c r="C47" s="91" t="s">
        <v>147</v>
      </c>
      <c r="D47" s="8" t="s">
        <v>148</v>
      </c>
      <c r="E47" s="7" t="s">
        <v>0</v>
      </c>
      <c r="F47" s="58">
        <f>20+50</f>
        <v>70</v>
      </c>
      <c r="G47" s="146"/>
      <c r="H47" s="9">
        <f>G47*F47</f>
        <v>0</v>
      </c>
      <c r="I47" s="53"/>
      <c r="J47" s="55"/>
      <c r="K47" s="48"/>
      <c r="L47" s="51"/>
      <c r="M47" s="96"/>
      <c r="N47" s="106"/>
      <c r="O47" s="107"/>
      <c r="Q47" s="106"/>
    </row>
    <row r="48" spans="2:17" s="27" customFormat="1" ht="25.5">
      <c r="B48" s="6">
        <v>10</v>
      </c>
      <c r="C48" s="42" t="s">
        <v>125</v>
      </c>
      <c r="D48" s="8" t="s">
        <v>123</v>
      </c>
      <c r="E48" s="42" t="s">
        <v>1</v>
      </c>
      <c r="F48" s="105">
        <f>+F53</f>
        <v>100</v>
      </c>
      <c r="G48" s="143"/>
      <c r="H48" s="9">
        <f aca="true" t="shared" si="4" ref="H48">G48*F48</f>
        <v>0</v>
      </c>
      <c r="I48" s="99"/>
      <c r="J48" s="55"/>
      <c r="K48" s="48"/>
      <c r="L48" s="48"/>
      <c r="M48" s="79"/>
      <c r="N48" s="36"/>
      <c r="O48" s="40"/>
      <c r="Q48" s="36"/>
    </row>
    <row r="49" spans="2:17" s="27" customFormat="1" ht="25.5">
      <c r="B49" s="6">
        <v>11</v>
      </c>
      <c r="C49" s="42" t="s">
        <v>126</v>
      </c>
      <c r="D49" s="8" t="s">
        <v>124</v>
      </c>
      <c r="E49" s="42" t="s">
        <v>1</v>
      </c>
      <c r="F49" s="105">
        <f>+F54</f>
        <v>30</v>
      </c>
      <c r="G49" s="143"/>
      <c r="H49" s="9">
        <f aca="true" t="shared" si="5" ref="H49">G49*F49</f>
        <v>0</v>
      </c>
      <c r="I49" s="99"/>
      <c r="J49" s="55"/>
      <c r="K49" s="48"/>
      <c r="L49" s="48"/>
      <c r="M49" s="79"/>
      <c r="N49" s="36"/>
      <c r="O49" s="40"/>
      <c r="Q49" s="36"/>
    </row>
    <row r="50" spans="2:17" s="27" customFormat="1" ht="25.5">
      <c r="B50" s="6">
        <v>12</v>
      </c>
      <c r="C50" s="42" t="s">
        <v>16</v>
      </c>
      <c r="D50" s="8" t="s">
        <v>66</v>
      </c>
      <c r="E50" s="42" t="s">
        <v>1</v>
      </c>
      <c r="F50" s="105">
        <v>35</v>
      </c>
      <c r="G50" s="143"/>
      <c r="H50" s="9">
        <f aca="true" t="shared" si="6" ref="H50:H81">G50*F50</f>
        <v>0</v>
      </c>
      <c r="I50" s="99"/>
      <c r="J50" s="55"/>
      <c r="K50" s="48"/>
      <c r="L50" s="48"/>
      <c r="M50" s="79"/>
      <c r="N50" s="36"/>
      <c r="O50" s="40"/>
      <c r="Q50" s="36"/>
    </row>
    <row r="51" spans="2:17" s="27" customFormat="1" ht="25.5">
      <c r="B51" s="6">
        <v>13</v>
      </c>
      <c r="C51" s="42" t="s">
        <v>128</v>
      </c>
      <c r="D51" s="8" t="s">
        <v>127</v>
      </c>
      <c r="E51" s="42" t="s">
        <v>1</v>
      </c>
      <c r="F51" s="105">
        <v>4</v>
      </c>
      <c r="G51" s="143"/>
      <c r="H51" s="9">
        <f aca="true" t="shared" si="7" ref="H51">G51*F51</f>
        <v>0</v>
      </c>
      <c r="I51" s="99"/>
      <c r="J51" s="55"/>
      <c r="K51" s="48"/>
      <c r="L51" s="48"/>
      <c r="M51" s="79"/>
      <c r="N51" s="36"/>
      <c r="O51" s="40"/>
      <c r="Q51" s="36"/>
    </row>
    <row r="52" spans="2:17" s="27" customFormat="1" ht="25.5">
      <c r="B52" s="6">
        <v>14</v>
      </c>
      <c r="C52" s="42" t="s">
        <v>67</v>
      </c>
      <c r="D52" s="8" t="s">
        <v>68</v>
      </c>
      <c r="E52" s="42" t="s">
        <v>1</v>
      </c>
      <c r="F52" s="105">
        <v>3</v>
      </c>
      <c r="G52" s="143"/>
      <c r="H52" s="9">
        <f aca="true" t="shared" si="8" ref="H52">G52*F52</f>
        <v>0</v>
      </c>
      <c r="I52" s="99"/>
      <c r="J52" s="55"/>
      <c r="K52" s="48"/>
      <c r="L52" s="48"/>
      <c r="M52" s="79"/>
      <c r="N52" s="36"/>
      <c r="O52" s="40"/>
      <c r="Q52" s="36"/>
    </row>
    <row r="53" spans="2:17" s="27" customFormat="1" ht="25.5">
      <c r="B53" s="6">
        <v>15</v>
      </c>
      <c r="C53" s="42" t="s">
        <v>121</v>
      </c>
      <c r="D53" s="8" t="s">
        <v>120</v>
      </c>
      <c r="E53" s="42" t="s">
        <v>1</v>
      </c>
      <c r="F53" s="58">
        <v>100</v>
      </c>
      <c r="G53" s="143"/>
      <c r="H53" s="9">
        <f aca="true" t="shared" si="9" ref="H53:H63">G53*F53</f>
        <v>0</v>
      </c>
      <c r="I53" s="99"/>
      <c r="J53" s="55"/>
      <c r="K53" s="48"/>
      <c r="L53" s="48"/>
      <c r="M53" s="79"/>
      <c r="N53" s="36"/>
      <c r="O53" s="40"/>
      <c r="Q53" s="36"/>
    </row>
    <row r="54" spans="2:17" s="27" customFormat="1" ht="25.5">
      <c r="B54" s="6">
        <v>16</v>
      </c>
      <c r="C54" s="42" t="s">
        <v>121</v>
      </c>
      <c r="D54" s="8" t="s">
        <v>122</v>
      </c>
      <c r="E54" s="42" t="s">
        <v>1</v>
      </c>
      <c r="F54" s="58">
        <v>30</v>
      </c>
      <c r="G54" s="143"/>
      <c r="H54" s="9">
        <f aca="true" t="shared" si="10" ref="H54">G54*F54</f>
        <v>0</v>
      </c>
      <c r="I54" s="99"/>
      <c r="J54" s="55"/>
      <c r="K54" s="48"/>
      <c r="L54" s="48"/>
      <c r="M54" s="79"/>
      <c r="N54" s="36"/>
      <c r="O54" s="40"/>
      <c r="Q54" s="36"/>
    </row>
    <row r="55" spans="2:17" s="27" customFormat="1" ht="25.5">
      <c r="B55" s="6">
        <v>17</v>
      </c>
      <c r="C55" s="42" t="s">
        <v>70</v>
      </c>
      <c r="D55" s="8" t="s">
        <v>69</v>
      </c>
      <c r="E55" s="42" t="s">
        <v>1</v>
      </c>
      <c r="F55" s="58">
        <v>32</v>
      </c>
      <c r="G55" s="143"/>
      <c r="H55" s="9">
        <f t="shared" si="9"/>
        <v>0</v>
      </c>
      <c r="I55" s="99"/>
      <c r="J55" s="55"/>
      <c r="K55" s="48"/>
      <c r="L55" s="48"/>
      <c r="M55" s="79"/>
      <c r="N55" s="36"/>
      <c r="O55" s="40"/>
      <c r="Q55" s="36"/>
    </row>
    <row r="56" spans="2:17" s="27" customFormat="1" ht="25.5">
      <c r="B56" s="6">
        <v>18</v>
      </c>
      <c r="C56" s="42" t="s">
        <v>117</v>
      </c>
      <c r="D56" s="8" t="s">
        <v>166</v>
      </c>
      <c r="E56" s="42" t="s">
        <v>1</v>
      </c>
      <c r="F56" s="58">
        <v>3</v>
      </c>
      <c r="G56" s="143"/>
      <c r="H56" s="9">
        <f aca="true" t="shared" si="11" ref="H56:H57">G56*F56</f>
        <v>0</v>
      </c>
      <c r="I56" s="99"/>
      <c r="J56" s="55"/>
      <c r="K56" s="48"/>
      <c r="L56" s="48"/>
      <c r="M56" s="79"/>
      <c r="N56" s="36"/>
      <c r="O56" s="40"/>
      <c r="Q56" s="36"/>
    </row>
    <row r="57" spans="2:17" s="27" customFormat="1" ht="25.5">
      <c r="B57" s="6">
        <v>19</v>
      </c>
      <c r="C57" s="42" t="s">
        <v>119</v>
      </c>
      <c r="D57" s="8" t="s">
        <v>118</v>
      </c>
      <c r="E57" s="42" t="s">
        <v>1</v>
      </c>
      <c r="F57" s="58">
        <v>4</v>
      </c>
      <c r="G57" s="143"/>
      <c r="H57" s="9">
        <f t="shared" si="11"/>
        <v>0</v>
      </c>
      <c r="I57" s="99"/>
      <c r="J57" s="55"/>
      <c r="K57" s="48"/>
      <c r="L57" s="48"/>
      <c r="M57" s="79"/>
      <c r="N57" s="36"/>
      <c r="O57" s="40"/>
      <c r="Q57" s="36"/>
    </row>
    <row r="58" spans="2:17" s="27" customFormat="1" ht="25.5">
      <c r="B58" s="6">
        <v>20</v>
      </c>
      <c r="C58" s="42" t="s">
        <v>72</v>
      </c>
      <c r="D58" s="8" t="s">
        <v>71</v>
      </c>
      <c r="E58" s="42" t="s">
        <v>1</v>
      </c>
      <c r="F58" s="58">
        <f>+F52</f>
        <v>3</v>
      </c>
      <c r="G58" s="143"/>
      <c r="H58" s="9">
        <f t="shared" si="9"/>
        <v>0</v>
      </c>
      <c r="I58" s="99"/>
      <c r="J58" s="55"/>
      <c r="K58" s="48"/>
      <c r="L58" s="48"/>
      <c r="M58" s="79"/>
      <c r="N58" s="36"/>
      <c r="O58" s="40"/>
      <c r="Q58" s="36"/>
    </row>
    <row r="59" spans="2:17" s="27" customFormat="1" ht="12.75">
      <c r="B59" s="6">
        <v>21</v>
      </c>
      <c r="C59" s="42" t="s">
        <v>73</v>
      </c>
      <c r="D59" s="8" t="s">
        <v>129</v>
      </c>
      <c r="E59" s="42" t="s">
        <v>1</v>
      </c>
      <c r="F59" s="58">
        <v>1</v>
      </c>
      <c r="G59" s="143"/>
      <c r="H59" s="9">
        <f t="shared" si="9"/>
        <v>0</v>
      </c>
      <c r="I59" s="99"/>
      <c r="J59" s="55"/>
      <c r="K59" s="48"/>
      <c r="L59" s="48"/>
      <c r="M59" s="79"/>
      <c r="N59" s="36"/>
      <c r="O59" s="40"/>
      <c r="Q59" s="36"/>
    </row>
    <row r="60" spans="2:17" s="27" customFormat="1" ht="12.75">
      <c r="B60" s="6">
        <v>22</v>
      </c>
      <c r="C60" s="42" t="s">
        <v>17</v>
      </c>
      <c r="D60" s="8" t="s">
        <v>18</v>
      </c>
      <c r="E60" s="42" t="s">
        <v>1</v>
      </c>
      <c r="F60" s="58">
        <v>41</v>
      </c>
      <c r="G60" s="143"/>
      <c r="H60" s="9">
        <f t="shared" si="9"/>
        <v>0</v>
      </c>
      <c r="I60" s="135"/>
      <c r="J60" s="55"/>
      <c r="K60" s="48"/>
      <c r="L60" s="48"/>
      <c r="M60" s="79"/>
      <c r="N60" s="36"/>
      <c r="O60" s="40"/>
      <c r="Q60" s="36"/>
    </row>
    <row r="61" spans="2:17" s="27" customFormat="1" ht="25.5">
      <c r="B61" s="6">
        <v>23</v>
      </c>
      <c r="C61" s="42" t="s">
        <v>131</v>
      </c>
      <c r="D61" s="8" t="s">
        <v>130</v>
      </c>
      <c r="E61" s="42" t="s">
        <v>1</v>
      </c>
      <c r="F61" s="105">
        <v>35</v>
      </c>
      <c r="G61" s="143"/>
      <c r="H61" s="9">
        <f t="shared" si="9"/>
        <v>0</v>
      </c>
      <c r="I61" s="99"/>
      <c r="J61" s="55"/>
      <c r="K61" s="48"/>
      <c r="L61" s="48"/>
      <c r="M61" s="79"/>
      <c r="N61" s="36"/>
      <c r="O61" s="40"/>
      <c r="Q61" s="36"/>
    </row>
    <row r="62" spans="2:17" s="27" customFormat="1" ht="25.5">
      <c r="B62" s="6">
        <v>24</v>
      </c>
      <c r="C62" s="42" t="s">
        <v>133</v>
      </c>
      <c r="D62" s="8" t="s">
        <v>132</v>
      </c>
      <c r="E62" s="42" t="s">
        <v>1</v>
      </c>
      <c r="F62" s="105">
        <v>4</v>
      </c>
      <c r="G62" s="143"/>
      <c r="H62" s="9">
        <f aca="true" t="shared" si="12" ref="H62">G62*F62</f>
        <v>0</v>
      </c>
      <c r="I62" s="99"/>
      <c r="J62" s="55"/>
      <c r="K62" s="48"/>
      <c r="L62" s="48"/>
      <c r="M62" s="79"/>
      <c r="N62" s="36"/>
      <c r="O62" s="40"/>
      <c r="Q62" s="36"/>
    </row>
    <row r="63" spans="2:17" s="27" customFormat="1" ht="25.5">
      <c r="B63" s="6">
        <v>25</v>
      </c>
      <c r="C63" s="42" t="s">
        <v>134</v>
      </c>
      <c r="D63" s="8" t="s">
        <v>135</v>
      </c>
      <c r="E63" s="42" t="s">
        <v>1</v>
      </c>
      <c r="F63" s="105">
        <v>3</v>
      </c>
      <c r="G63" s="143"/>
      <c r="H63" s="9">
        <f t="shared" si="9"/>
        <v>0</v>
      </c>
      <c r="I63" s="99"/>
      <c r="J63" s="55"/>
      <c r="K63" s="48"/>
      <c r="L63" s="48"/>
      <c r="M63" s="79"/>
      <c r="N63" s="36"/>
      <c r="O63" s="40"/>
      <c r="Q63" s="36"/>
    </row>
    <row r="64" spans="2:17" s="27" customFormat="1" ht="25.5">
      <c r="B64" s="6">
        <v>26</v>
      </c>
      <c r="C64" s="42" t="s">
        <v>19</v>
      </c>
      <c r="D64" s="8" t="s">
        <v>137</v>
      </c>
      <c r="E64" s="42" t="s">
        <v>0</v>
      </c>
      <c r="F64" s="58">
        <f>30*0.6</f>
        <v>18</v>
      </c>
      <c r="G64" s="143"/>
      <c r="H64" s="9">
        <f aca="true" t="shared" si="13" ref="H64:H65">G64*F64</f>
        <v>0</v>
      </c>
      <c r="I64" s="99"/>
      <c r="J64" s="55"/>
      <c r="K64" s="48"/>
      <c r="L64" s="48"/>
      <c r="M64" s="79"/>
      <c r="N64" s="36"/>
      <c r="O64" s="40"/>
      <c r="Q64" s="36"/>
    </row>
    <row r="65" spans="2:17" s="27" customFormat="1" ht="25.5">
      <c r="B65" s="6">
        <v>27</v>
      </c>
      <c r="C65" s="42" t="s">
        <v>136</v>
      </c>
      <c r="D65" s="8" t="s">
        <v>138</v>
      </c>
      <c r="E65" s="42" t="s">
        <v>0</v>
      </c>
      <c r="F65" s="58">
        <f>4*0.6</f>
        <v>2.4</v>
      </c>
      <c r="G65" s="143"/>
      <c r="H65" s="9">
        <f t="shared" si="13"/>
        <v>0</v>
      </c>
      <c r="I65" s="99"/>
      <c r="K65" s="48"/>
      <c r="L65" s="48"/>
      <c r="M65" s="79"/>
      <c r="N65" s="36"/>
      <c r="O65" s="40"/>
      <c r="Q65" s="36"/>
    </row>
    <row r="66" spans="2:17" s="27" customFormat="1" ht="25.5">
      <c r="B66" s="6">
        <v>28</v>
      </c>
      <c r="C66" s="42" t="s">
        <v>74</v>
      </c>
      <c r="D66" s="8" t="s">
        <v>75</v>
      </c>
      <c r="E66" s="42" t="s">
        <v>0</v>
      </c>
      <c r="F66" s="58">
        <f>3*0.6</f>
        <v>1.7999999999999998</v>
      </c>
      <c r="G66" s="143"/>
      <c r="H66" s="9">
        <f t="shared" si="6"/>
        <v>0</v>
      </c>
      <c r="I66" s="99"/>
      <c r="K66" s="48"/>
      <c r="L66" s="48"/>
      <c r="M66" s="79"/>
      <c r="N66" s="36"/>
      <c r="O66" s="40"/>
      <c r="Q66" s="36"/>
    </row>
    <row r="67" spans="2:17" s="27" customFormat="1" ht="25.5">
      <c r="B67" s="6">
        <v>29</v>
      </c>
      <c r="C67" s="42" t="s">
        <v>20</v>
      </c>
      <c r="D67" s="8" t="s">
        <v>157</v>
      </c>
      <c r="E67" s="42" t="s">
        <v>0</v>
      </c>
      <c r="F67" s="58">
        <f>+(42*3.14*0.5*0.5)+20+50</f>
        <v>102.97</v>
      </c>
      <c r="G67" s="143"/>
      <c r="H67" s="9">
        <f t="shared" si="6"/>
        <v>0</v>
      </c>
      <c r="I67" s="99"/>
      <c r="K67" s="48"/>
      <c r="L67" s="48"/>
      <c r="M67" s="79"/>
      <c r="N67" s="36"/>
      <c r="O67" s="40"/>
      <c r="Q67" s="36"/>
    </row>
    <row r="68" spans="2:17" s="27" customFormat="1" ht="38.25">
      <c r="B68" s="6">
        <v>30</v>
      </c>
      <c r="C68" s="42" t="s">
        <v>21</v>
      </c>
      <c r="D68" s="8" t="s">
        <v>139</v>
      </c>
      <c r="E68" s="42" t="s">
        <v>8</v>
      </c>
      <c r="F68" s="117">
        <f>+(42*10)*10*0.001*0.001+(130*2)*10*0.001*0.001</f>
        <v>0.0068000000000000005</v>
      </c>
      <c r="G68" s="143"/>
      <c r="H68" s="9">
        <f t="shared" si="6"/>
        <v>0</v>
      </c>
      <c r="I68" s="99"/>
      <c r="J68" s="55"/>
      <c r="K68" s="48"/>
      <c r="L68" s="48"/>
      <c r="M68" s="79"/>
      <c r="N68" s="36"/>
      <c r="O68" s="40"/>
      <c r="Q68" s="36"/>
    </row>
    <row r="69" spans="2:17" s="27" customFormat="1" ht="25.5">
      <c r="B69" s="6">
        <v>31</v>
      </c>
      <c r="C69" s="42" t="s">
        <v>22</v>
      </c>
      <c r="D69" s="8" t="s">
        <v>145</v>
      </c>
      <c r="E69" s="42" t="s">
        <v>14</v>
      </c>
      <c r="F69" s="58">
        <f>+(42*0.1+130*0.02)</f>
        <v>6.800000000000001</v>
      </c>
      <c r="G69" s="143"/>
      <c r="H69" s="9">
        <f t="shared" si="6"/>
        <v>0</v>
      </c>
      <c r="I69" s="99"/>
      <c r="K69" s="48"/>
      <c r="L69" s="48"/>
      <c r="M69" s="79"/>
      <c r="N69" s="36"/>
      <c r="O69" s="40"/>
      <c r="Q69" s="36"/>
    </row>
    <row r="70" spans="2:17" s="27" customFormat="1" ht="12.75">
      <c r="B70" s="6">
        <v>32</v>
      </c>
      <c r="C70" s="42" t="s">
        <v>23</v>
      </c>
      <c r="D70" s="8" t="s">
        <v>24</v>
      </c>
      <c r="E70" s="42" t="s">
        <v>14</v>
      </c>
      <c r="F70" s="58">
        <f>+F69</f>
        <v>6.800000000000001</v>
      </c>
      <c r="G70" s="143"/>
      <c r="H70" s="9">
        <f t="shared" si="6"/>
        <v>0</v>
      </c>
      <c r="I70" s="99"/>
      <c r="J70" s="55"/>
      <c r="K70" s="48"/>
      <c r="L70" s="48"/>
      <c r="M70" s="79"/>
      <c r="N70" s="36"/>
      <c r="O70" s="40"/>
      <c r="Q70" s="36"/>
    </row>
    <row r="71" spans="2:17" s="27" customFormat="1" ht="25.5">
      <c r="B71" s="6">
        <v>33</v>
      </c>
      <c r="C71" s="90" t="s">
        <v>25</v>
      </c>
      <c r="D71" s="8" t="s">
        <v>26</v>
      </c>
      <c r="E71" s="82" t="s">
        <v>8</v>
      </c>
      <c r="F71" s="105">
        <f>+(F78)*0.3+F79*0.3+F68+F73*0.003+F72*0.0003+F75*0.0003</f>
        <v>10.311860000000001</v>
      </c>
      <c r="G71" s="143"/>
      <c r="H71" s="9">
        <f>G71*F71</f>
        <v>0</v>
      </c>
      <c r="K71" s="48"/>
      <c r="L71" s="48"/>
      <c r="N71" s="36"/>
      <c r="O71" s="40"/>
      <c r="Q71" s="36"/>
    </row>
    <row r="72" spans="2:12" s="27" customFormat="1" ht="25.5">
      <c r="B72" s="6">
        <v>34</v>
      </c>
      <c r="C72" s="42" t="s">
        <v>42</v>
      </c>
      <c r="D72" s="8" t="s">
        <v>143</v>
      </c>
      <c r="E72" s="42" t="s">
        <v>1</v>
      </c>
      <c r="F72" s="58">
        <v>41</v>
      </c>
      <c r="G72" s="143"/>
      <c r="H72" s="9">
        <f aca="true" t="shared" si="14" ref="H72">G72*F72</f>
        <v>0</v>
      </c>
      <c r="I72" s="135"/>
      <c r="J72" s="118"/>
      <c r="K72" s="78"/>
      <c r="L72" s="79"/>
    </row>
    <row r="73" spans="2:14" ht="12.75">
      <c r="B73" s="6">
        <v>35</v>
      </c>
      <c r="C73" s="91" t="s">
        <v>9</v>
      </c>
      <c r="D73" s="8" t="s">
        <v>141</v>
      </c>
      <c r="E73" s="7" t="s">
        <v>1</v>
      </c>
      <c r="F73" s="105">
        <f>+(41*3+1)</f>
        <v>124</v>
      </c>
      <c r="G73" s="143"/>
      <c r="H73" s="9">
        <f t="shared" si="6"/>
        <v>0</v>
      </c>
      <c r="K73" s="48"/>
      <c r="M73" s="4"/>
      <c r="N73" s="35"/>
    </row>
    <row r="74" spans="2:14" ht="12.75">
      <c r="B74" s="6">
        <v>36</v>
      </c>
      <c r="C74" s="91" t="s">
        <v>9</v>
      </c>
      <c r="D74" s="8" t="s">
        <v>38</v>
      </c>
      <c r="E74" s="7" t="s">
        <v>1</v>
      </c>
      <c r="F74" s="58">
        <f>F60*3</f>
        <v>123</v>
      </c>
      <c r="G74" s="143"/>
      <c r="H74" s="9">
        <f t="shared" si="6"/>
        <v>0</v>
      </c>
      <c r="K74" s="48"/>
      <c r="M74" s="4"/>
      <c r="N74" s="35"/>
    </row>
    <row r="75" spans="2:14" ht="12.75">
      <c r="B75" s="6">
        <v>37</v>
      </c>
      <c r="C75" s="91" t="s">
        <v>9</v>
      </c>
      <c r="D75" s="8" t="s">
        <v>27</v>
      </c>
      <c r="E75" s="7" t="s">
        <v>0</v>
      </c>
      <c r="F75" s="58">
        <f>+F66+F65+F64</f>
        <v>22.2</v>
      </c>
      <c r="G75" s="143"/>
      <c r="H75" s="9">
        <f t="shared" si="6"/>
        <v>0</v>
      </c>
      <c r="K75" s="48"/>
      <c r="M75" s="4"/>
      <c r="N75" s="35"/>
    </row>
    <row r="76" spans="2:14" ht="12.75">
      <c r="B76" s="6">
        <v>38</v>
      </c>
      <c r="C76" s="42" t="s">
        <v>9</v>
      </c>
      <c r="D76" s="8" t="s">
        <v>142</v>
      </c>
      <c r="E76" s="7" t="s">
        <v>2</v>
      </c>
      <c r="F76" s="58">
        <f>+F73</f>
        <v>124</v>
      </c>
      <c r="G76" s="143"/>
      <c r="H76" s="9">
        <f t="shared" si="6"/>
        <v>0</v>
      </c>
      <c r="I76" s="119"/>
      <c r="K76" s="48"/>
      <c r="M76" s="4"/>
      <c r="N76" s="35"/>
    </row>
    <row r="77" spans="2:12" s="27" customFormat="1" ht="25.5">
      <c r="B77" s="6">
        <v>39</v>
      </c>
      <c r="C77" s="42" t="s">
        <v>9</v>
      </c>
      <c r="D77" s="8" t="s">
        <v>144</v>
      </c>
      <c r="E77" s="42" t="s">
        <v>1</v>
      </c>
      <c r="F77" s="58">
        <f>+F72</f>
        <v>41</v>
      </c>
      <c r="G77" s="143"/>
      <c r="H77" s="9">
        <f t="shared" si="6"/>
        <v>0</v>
      </c>
      <c r="I77" s="60"/>
      <c r="J77" s="118"/>
      <c r="K77" s="78"/>
      <c r="L77" s="79"/>
    </row>
    <row r="78" spans="2:14" ht="25.5">
      <c r="B78" s="6">
        <v>40</v>
      </c>
      <c r="C78" s="42" t="s">
        <v>9</v>
      </c>
      <c r="D78" s="8" t="s">
        <v>146</v>
      </c>
      <c r="E78" s="7" t="s">
        <v>14</v>
      </c>
      <c r="F78" s="58">
        <f>(42*1*0.5)+(100*0.02*0.5)+(30*0.05*0.5)</f>
        <v>22.75</v>
      </c>
      <c r="G78" s="143"/>
      <c r="H78" s="9">
        <f t="shared" si="6"/>
        <v>0</v>
      </c>
      <c r="K78" s="48"/>
      <c r="M78" s="4"/>
      <c r="N78" s="35"/>
    </row>
    <row r="79" spans="2:14" ht="12.75">
      <c r="B79" s="6">
        <v>41</v>
      </c>
      <c r="C79" s="91" t="s">
        <v>9</v>
      </c>
      <c r="D79" s="8" t="s">
        <v>28</v>
      </c>
      <c r="E79" s="7" t="s">
        <v>14</v>
      </c>
      <c r="F79" s="58">
        <f>(F67)*0.1</f>
        <v>10.297</v>
      </c>
      <c r="G79" s="143"/>
      <c r="H79" s="9">
        <f t="shared" si="6"/>
        <v>0</v>
      </c>
      <c r="K79" s="48"/>
      <c r="M79" s="4"/>
      <c r="N79" s="35"/>
    </row>
    <row r="80" spans="2:14" ht="12.75">
      <c r="B80" s="6">
        <v>42</v>
      </c>
      <c r="C80" s="91" t="s">
        <v>9</v>
      </c>
      <c r="D80" s="8" t="s">
        <v>140</v>
      </c>
      <c r="E80" s="42" t="s">
        <v>1</v>
      </c>
      <c r="F80" s="58">
        <f>+(42*10+130*2)</f>
        <v>680</v>
      </c>
      <c r="G80" s="143"/>
      <c r="H80" s="9">
        <f t="shared" si="6"/>
        <v>0</v>
      </c>
      <c r="K80" s="48"/>
      <c r="L80" s="52"/>
      <c r="M80" s="4"/>
      <c r="N80" s="35"/>
    </row>
    <row r="81" spans="2:11" ht="13.5" thickBot="1">
      <c r="B81" s="84">
        <v>43</v>
      </c>
      <c r="C81" s="92" t="s">
        <v>9</v>
      </c>
      <c r="D81" s="93" t="s">
        <v>29</v>
      </c>
      <c r="E81" s="85" t="s">
        <v>11</v>
      </c>
      <c r="F81" s="88">
        <f>10*F46/10000</f>
        <v>0.07</v>
      </c>
      <c r="G81" s="144"/>
      <c r="H81" s="89">
        <f t="shared" si="6"/>
        <v>0</v>
      </c>
      <c r="K81" s="48"/>
    </row>
    <row r="82" spans="4:9" ht="12.75">
      <c r="D82" s="3"/>
      <c r="E82" s="15"/>
      <c r="F82" s="59"/>
      <c r="G82" s="59"/>
      <c r="H82" s="25"/>
      <c r="I82" s="102"/>
    </row>
    <row r="83" spans="3:14" ht="12.75">
      <c r="C83" s="140" t="s">
        <v>30</v>
      </c>
      <c r="D83" s="140"/>
      <c r="F83" s="54"/>
      <c r="H83" s="32"/>
      <c r="I83" s="1"/>
      <c r="M83" s="4"/>
      <c r="N83" s="35"/>
    </row>
    <row r="84" spans="2:14" ht="13.5" thickBot="1">
      <c r="B84" s="1" t="s">
        <v>3</v>
      </c>
      <c r="C84" s="31" t="s">
        <v>31</v>
      </c>
      <c r="D84" s="14"/>
      <c r="E84" s="1" t="s">
        <v>4</v>
      </c>
      <c r="F84" s="54" t="s">
        <v>5</v>
      </c>
      <c r="G84" s="54" t="s">
        <v>6</v>
      </c>
      <c r="H84" s="13" t="s">
        <v>7</v>
      </c>
      <c r="M84" s="45"/>
      <c r="N84" s="35"/>
    </row>
    <row r="85" spans="2:17" s="124" customFormat="1" ht="12.75">
      <c r="B85" s="5"/>
      <c r="C85" s="29"/>
      <c r="D85" s="33" t="s">
        <v>92</v>
      </c>
      <c r="E85" s="120"/>
      <c r="F85" s="121"/>
      <c r="G85" s="122"/>
      <c r="H85" s="30"/>
      <c r="I85" s="99"/>
      <c r="J85" s="123"/>
      <c r="L85" s="125"/>
      <c r="M85" s="126"/>
      <c r="N85" s="127"/>
      <c r="O85" s="128"/>
      <c r="Q85" s="127"/>
    </row>
    <row r="86" spans="2:17" s="27" customFormat="1" ht="13.5" customHeight="1">
      <c r="B86" s="6">
        <v>44</v>
      </c>
      <c r="C86" s="7" t="s">
        <v>114</v>
      </c>
      <c r="D86" s="8" t="s">
        <v>91</v>
      </c>
      <c r="E86" s="7" t="s">
        <v>1</v>
      </c>
      <c r="F86" s="129">
        <v>1</v>
      </c>
      <c r="G86" s="143"/>
      <c r="H86" s="9">
        <f>G86*F86</f>
        <v>0</v>
      </c>
      <c r="I86" s="99"/>
      <c r="J86" s="123"/>
      <c r="K86" s="48"/>
      <c r="L86" s="48"/>
      <c r="M86" s="1"/>
      <c r="N86" s="36"/>
      <c r="O86" s="40"/>
      <c r="Q86" s="36"/>
    </row>
    <row r="87" spans="2:14" ht="15">
      <c r="B87" s="6"/>
      <c r="C87" s="130"/>
      <c r="D87" s="109" t="s">
        <v>93</v>
      </c>
      <c r="E87" s="7"/>
      <c r="F87" s="131"/>
      <c r="G87" s="58"/>
      <c r="H87" s="9"/>
      <c r="K87" s="48"/>
      <c r="M87" s="4"/>
      <c r="N87" s="35"/>
    </row>
    <row r="88" spans="2:17" s="27" customFormat="1" ht="13.5" customHeight="1">
      <c r="B88" s="6">
        <v>45</v>
      </c>
      <c r="C88" s="7" t="s">
        <v>109</v>
      </c>
      <c r="D88" s="8" t="s">
        <v>94</v>
      </c>
      <c r="E88" s="7" t="s">
        <v>1</v>
      </c>
      <c r="F88" s="129">
        <v>1</v>
      </c>
      <c r="G88" s="143"/>
      <c r="H88" s="9">
        <f aca="true" t="shared" si="15" ref="H88:H102">G88*F88</f>
        <v>0</v>
      </c>
      <c r="I88" s="99"/>
      <c r="J88" s="123"/>
      <c r="K88" s="48"/>
      <c r="L88" s="48"/>
      <c r="M88" s="1"/>
      <c r="N88" s="36"/>
      <c r="O88" s="40"/>
      <c r="Q88" s="36"/>
    </row>
    <row r="89" spans="2:17" s="27" customFormat="1" ht="13.5" customHeight="1">
      <c r="B89" s="6">
        <v>46</v>
      </c>
      <c r="C89" s="7" t="s">
        <v>110</v>
      </c>
      <c r="D89" s="8" t="s">
        <v>95</v>
      </c>
      <c r="E89" s="7" t="s">
        <v>1</v>
      </c>
      <c r="F89" s="129">
        <v>7</v>
      </c>
      <c r="G89" s="143"/>
      <c r="H89" s="9">
        <f t="shared" si="15"/>
        <v>0</v>
      </c>
      <c r="I89" s="99"/>
      <c r="J89" s="123"/>
      <c r="K89" s="48"/>
      <c r="L89" s="48"/>
      <c r="M89" s="1"/>
      <c r="N89" s="36"/>
      <c r="O89" s="40"/>
      <c r="Q89" s="36"/>
    </row>
    <row r="90" spans="2:17" s="27" customFormat="1" ht="13.5" customHeight="1">
      <c r="B90" s="6">
        <v>47</v>
      </c>
      <c r="C90" s="7" t="s">
        <v>110</v>
      </c>
      <c r="D90" s="8" t="s">
        <v>37</v>
      </c>
      <c r="E90" s="7" t="s">
        <v>1</v>
      </c>
      <c r="F90" s="129">
        <v>3</v>
      </c>
      <c r="G90" s="143"/>
      <c r="H90" s="9">
        <f t="shared" si="15"/>
        <v>0</v>
      </c>
      <c r="I90" s="99"/>
      <c r="J90" s="123"/>
      <c r="K90" s="48"/>
      <c r="L90" s="48"/>
      <c r="M90" s="1"/>
      <c r="N90" s="36"/>
      <c r="O90" s="40"/>
      <c r="Q90" s="36"/>
    </row>
    <row r="91" spans="2:17" s="27" customFormat="1" ht="13.5" customHeight="1">
      <c r="B91" s="6">
        <v>48</v>
      </c>
      <c r="C91" s="7" t="s">
        <v>109</v>
      </c>
      <c r="D91" s="8" t="s">
        <v>96</v>
      </c>
      <c r="E91" s="7" t="s">
        <v>1</v>
      </c>
      <c r="F91" s="129">
        <v>1</v>
      </c>
      <c r="G91" s="143"/>
      <c r="H91" s="9">
        <f t="shared" si="15"/>
        <v>0</v>
      </c>
      <c r="I91" s="99"/>
      <c r="J91" s="123"/>
      <c r="K91" s="48"/>
      <c r="L91" s="48"/>
      <c r="M91" s="1"/>
      <c r="N91" s="36"/>
      <c r="O91" s="40"/>
      <c r="Q91" s="36"/>
    </row>
    <row r="92" spans="2:17" s="27" customFormat="1" ht="13.5" customHeight="1">
      <c r="B92" s="6">
        <v>49</v>
      </c>
      <c r="C92" s="7" t="s">
        <v>109</v>
      </c>
      <c r="D92" s="8" t="s">
        <v>97</v>
      </c>
      <c r="E92" s="7" t="s">
        <v>1</v>
      </c>
      <c r="F92" s="129">
        <v>1</v>
      </c>
      <c r="G92" s="143"/>
      <c r="H92" s="9">
        <f t="shared" si="15"/>
        <v>0</v>
      </c>
      <c r="I92" s="99"/>
      <c r="J92" s="123"/>
      <c r="K92" s="48"/>
      <c r="L92" s="48"/>
      <c r="M92" s="1"/>
      <c r="N92" s="36"/>
      <c r="O92" s="40"/>
      <c r="Q92" s="36"/>
    </row>
    <row r="93" spans="2:17" s="27" customFormat="1" ht="13.5" customHeight="1">
      <c r="B93" s="6">
        <v>50</v>
      </c>
      <c r="C93" s="7" t="s">
        <v>109</v>
      </c>
      <c r="D93" s="8" t="s">
        <v>98</v>
      </c>
      <c r="E93" s="7" t="s">
        <v>1</v>
      </c>
      <c r="F93" s="129">
        <v>6</v>
      </c>
      <c r="G93" s="143"/>
      <c r="H93" s="9">
        <f t="shared" si="15"/>
        <v>0</v>
      </c>
      <c r="I93" s="99"/>
      <c r="J93" s="123"/>
      <c r="K93" s="48"/>
      <c r="L93" s="48"/>
      <c r="M93" s="1"/>
      <c r="N93" s="36"/>
      <c r="O93" s="40"/>
      <c r="Q93" s="36"/>
    </row>
    <row r="94" spans="2:17" s="27" customFormat="1" ht="13.5" customHeight="1">
      <c r="B94" s="6">
        <v>51</v>
      </c>
      <c r="C94" s="7" t="s">
        <v>109</v>
      </c>
      <c r="D94" s="8" t="s">
        <v>111</v>
      </c>
      <c r="E94" s="7" t="s">
        <v>1</v>
      </c>
      <c r="F94" s="129">
        <v>1</v>
      </c>
      <c r="G94" s="143"/>
      <c r="H94" s="9">
        <f t="shared" si="15"/>
        <v>0</v>
      </c>
      <c r="I94" s="99"/>
      <c r="J94" s="123"/>
      <c r="K94" s="48"/>
      <c r="L94" s="48"/>
      <c r="M94" s="1"/>
      <c r="N94" s="36"/>
      <c r="O94" s="40"/>
      <c r="Q94" s="36"/>
    </row>
    <row r="95" spans="2:17" s="27" customFormat="1" ht="13.5" customHeight="1">
      <c r="B95" s="6">
        <v>52</v>
      </c>
      <c r="C95" s="7" t="s">
        <v>109</v>
      </c>
      <c r="D95" s="8" t="s">
        <v>99</v>
      </c>
      <c r="E95" s="7" t="s">
        <v>1</v>
      </c>
      <c r="F95" s="129">
        <v>1</v>
      </c>
      <c r="G95" s="143"/>
      <c r="H95" s="9">
        <f t="shared" si="15"/>
        <v>0</v>
      </c>
      <c r="I95" s="99"/>
      <c r="J95" s="123"/>
      <c r="K95" s="48"/>
      <c r="L95" s="48"/>
      <c r="M95" s="1"/>
      <c r="N95" s="36"/>
      <c r="O95" s="40"/>
      <c r="Q95" s="36"/>
    </row>
    <row r="96" spans="2:17" s="27" customFormat="1" ht="13.5" customHeight="1">
      <c r="B96" s="6">
        <v>53</v>
      </c>
      <c r="C96" s="7" t="s">
        <v>115</v>
      </c>
      <c r="D96" s="8" t="s">
        <v>100</v>
      </c>
      <c r="E96" s="7" t="s">
        <v>1</v>
      </c>
      <c r="F96" s="129">
        <v>2</v>
      </c>
      <c r="G96" s="143"/>
      <c r="H96" s="9">
        <f t="shared" si="15"/>
        <v>0</v>
      </c>
      <c r="I96" s="99"/>
      <c r="J96" s="123"/>
      <c r="K96" s="48"/>
      <c r="L96" s="48"/>
      <c r="M96" s="1"/>
      <c r="N96" s="36"/>
      <c r="O96" s="40"/>
      <c r="Q96" s="36"/>
    </row>
    <row r="97" spans="2:17" s="27" customFormat="1" ht="13.5" customHeight="1">
      <c r="B97" s="6">
        <v>54</v>
      </c>
      <c r="C97" s="7" t="s">
        <v>112</v>
      </c>
      <c r="D97" s="8" t="s">
        <v>101</v>
      </c>
      <c r="E97" s="7" t="s">
        <v>1</v>
      </c>
      <c r="F97" s="129">
        <v>2</v>
      </c>
      <c r="G97" s="143"/>
      <c r="H97" s="9">
        <f t="shared" si="15"/>
        <v>0</v>
      </c>
      <c r="I97" s="99"/>
      <c r="J97" s="123"/>
      <c r="K97" s="48"/>
      <c r="L97" s="48"/>
      <c r="M97" s="1"/>
      <c r="N97" s="36"/>
      <c r="O97" s="40"/>
      <c r="Q97" s="36"/>
    </row>
    <row r="98" spans="2:17" s="27" customFormat="1" ht="13.5" customHeight="1">
      <c r="B98" s="6">
        <v>55</v>
      </c>
      <c r="C98" s="7" t="s">
        <v>113</v>
      </c>
      <c r="D98" s="8" t="s">
        <v>102</v>
      </c>
      <c r="E98" s="7" t="s">
        <v>1</v>
      </c>
      <c r="F98" s="129">
        <v>1</v>
      </c>
      <c r="G98" s="143"/>
      <c r="H98" s="9">
        <f t="shared" si="15"/>
        <v>0</v>
      </c>
      <c r="I98" s="99"/>
      <c r="J98" s="123"/>
      <c r="K98" s="48"/>
      <c r="L98" s="48"/>
      <c r="M98" s="1"/>
      <c r="N98" s="36"/>
      <c r="O98" s="40"/>
      <c r="Q98" s="36"/>
    </row>
    <row r="99" spans="2:17" s="27" customFormat="1" ht="13.5" customHeight="1">
      <c r="B99" s="6">
        <v>56</v>
      </c>
      <c r="C99" s="7" t="s">
        <v>110</v>
      </c>
      <c r="D99" s="8" t="s">
        <v>103</v>
      </c>
      <c r="E99" s="7" t="s">
        <v>1</v>
      </c>
      <c r="F99" s="129">
        <v>3</v>
      </c>
      <c r="G99" s="143"/>
      <c r="H99" s="9">
        <f t="shared" si="15"/>
        <v>0</v>
      </c>
      <c r="I99" s="99"/>
      <c r="J99" s="123"/>
      <c r="K99" s="48"/>
      <c r="L99" s="48"/>
      <c r="M99" s="1"/>
      <c r="N99" s="36"/>
      <c r="O99" s="40"/>
      <c r="Q99" s="36"/>
    </row>
    <row r="100" spans="2:17" s="27" customFormat="1" ht="13.5" customHeight="1">
      <c r="B100" s="6">
        <v>57</v>
      </c>
      <c r="C100" s="7" t="s">
        <v>109</v>
      </c>
      <c r="D100" s="8" t="s">
        <v>104</v>
      </c>
      <c r="E100" s="7" t="s">
        <v>1</v>
      </c>
      <c r="F100" s="129">
        <v>1</v>
      </c>
      <c r="G100" s="143"/>
      <c r="H100" s="9">
        <f t="shared" si="15"/>
        <v>0</v>
      </c>
      <c r="I100" s="99"/>
      <c r="J100" s="123"/>
      <c r="K100" s="48"/>
      <c r="L100" s="48"/>
      <c r="M100" s="1"/>
      <c r="N100" s="36"/>
      <c r="O100" s="40"/>
      <c r="Q100" s="36"/>
    </row>
    <row r="101" spans="2:17" s="27" customFormat="1" ht="13.5" customHeight="1">
      <c r="B101" s="6">
        <v>58</v>
      </c>
      <c r="C101" s="7" t="s">
        <v>110</v>
      </c>
      <c r="D101" s="8" t="s">
        <v>65</v>
      </c>
      <c r="E101" s="7" t="s">
        <v>1</v>
      </c>
      <c r="F101" s="129">
        <v>2</v>
      </c>
      <c r="G101" s="143"/>
      <c r="H101" s="9">
        <f t="shared" si="15"/>
        <v>0</v>
      </c>
      <c r="I101" s="99"/>
      <c r="J101" s="123"/>
      <c r="K101" s="48"/>
      <c r="L101" s="48"/>
      <c r="M101" s="1"/>
      <c r="N101" s="36"/>
      <c r="O101" s="40"/>
      <c r="Q101" s="36"/>
    </row>
    <row r="102" spans="2:17" s="27" customFormat="1" ht="13.5" customHeight="1">
      <c r="B102" s="6">
        <v>59</v>
      </c>
      <c r="C102" s="7" t="s">
        <v>110</v>
      </c>
      <c r="D102" s="8" t="s">
        <v>105</v>
      </c>
      <c r="E102" s="7" t="s">
        <v>1</v>
      </c>
      <c r="F102" s="129">
        <v>9</v>
      </c>
      <c r="G102" s="143"/>
      <c r="H102" s="9">
        <f t="shared" si="15"/>
        <v>0</v>
      </c>
      <c r="I102" s="99"/>
      <c r="J102" s="123"/>
      <c r="K102" s="48"/>
      <c r="L102" s="48"/>
      <c r="M102" s="1"/>
      <c r="N102" s="36"/>
      <c r="O102" s="40"/>
      <c r="Q102" s="36"/>
    </row>
    <row r="103" spans="2:17" s="124" customFormat="1" ht="12.75">
      <c r="B103" s="6"/>
      <c r="C103" s="7"/>
      <c r="D103" s="109" t="s">
        <v>34</v>
      </c>
      <c r="E103" s="7"/>
      <c r="F103" s="132"/>
      <c r="G103" s="58"/>
      <c r="H103" s="9"/>
      <c r="I103" s="99"/>
      <c r="J103" s="123"/>
      <c r="K103" s="48"/>
      <c r="L103" s="125"/>
      <c r="M103" s="126"/>
      <c r="N103" s="127"/>
      <c r="O103" s="128"/>
      <c r="Q103" s="127"/>
    </row>
    <row r="104" spans="2:17" s="27" customFormat="1" ht="13.5" customHeight="1">
      <c r="B104" s="6">
        <v>60</v>
      </c>
      <c r="C104" s="7" t="s">
        <v>108</v>
      </c>
      <c r="D104" s="8" t="s">
        <v>106</v>
      </c>
      <c r="E104" s="7" t="s">
        <v>1</v>
      </c>
      <c r="F104" s="129">
        <v>30</v>
      </c>
      <c r="G104" s="143"/>
      <c r="H104" s="9">
        <f aca="true" t="shared" si="16" ref="H104:H105">G104*F104</f>
        <v>0</v>
      </c>
      <c r="I104" s="99"/>
      <c r="J104" s="123"/>
      <c r="K104" s="48"/>
      <c r="L104" s="48"/>
      <c r="M104" s="1"/>
      <c r="N104" s="36"/>
      <c r="O104" s="40"/>
      <c r="Q104" s="36"/>
    </row>
    <row r="105" spans="2:17" s="27" customFormat="1" ht="13.5" customHeight="1" thickBot="1">
      <c r="B105" s="84">
        <v>61</v>
      </c>
      <c r="C105" s="87" t="s">
        <v>116</v>
      </c>
      <c r="D105" s="86" t="s">
        <v>107</v>
      </c>
      <c r="E105" s="87" t="s">
        <v>1</v>
      </c>
      <c r="F105" s="133">
        <v>100</v>
      </c>
      <c r="G105" s="144"/>
      <c r="H105" s="89">
        <f t="shared" si="16"/>
        <v>0</v>
      </c>
      <c r="I105" s="99"/>
      <c r="J105" s="123"/>
      <c r="K105" s="48"/>
      <c r="L105" s="48"/>
      <c r="M105" s="1"/>
      <c r="N105" s="36"/>
      <c r="O105" s="40"/>
      <c r="Q105" s="36"/>
    </row>
    <row r="106" spans="1:17" s="10" customFormat="1" ht="12.75">
      <c r="A106" s="3"/>
      <c r="B106" s="15"/>
      <c r="C106" s="28"/>
      <c r="D106" s="14" t="s">
        <v>32</v>
      </c>
      <c r="E106" s="15"/>
      <c r="F106" s="15"/>
      <c r="G106" s="59"/>
      <c r="H106" s="17">
        <f>SUM(H46:H105)</f>
        <v>0</v>
      </c>
      <c r="I106" s="100"/>
      <c r="J106" s="57"/>
      <c r="K106" s="48"/>
      <c r="L106" s="52"/>
      <c r="M106" s="46"/>
      <c r="N106" s="44"/>
      <c r="O106" s="44"/>
      <c r="Q106" s="44"/>
    </row>
    <row r="107" spans="1:17" s="10" customFormat="1" ht="12.75">
      <c r="A107" s="3"/>
      <c r="B107" s="15"/>
      <c r="C107" s="28"/>
      <c r="D107" s="14"/>
      <c r="E107" s="15"/>
      <c r="F107" s="59"/>
      <c r="G107" s="59"/>
      <c r="H107" s="17"/>
      <c r="I107" s="100"/>
      <c r="J107" s="55"/>
      <c r="K107" s="48"/>
      <c r="L107" s="52"/>
      <c r="M107" s="28"/>
      <c r="N107" s="37"/>
      <c r="O107" s="41"/>
      <c r="Q107" s="37"/>
    </row>
    <row r="108" spans="1:17" s="10" customFormat="1" ht="12.75">
      <c r="A108" s="3"/>
      <c r="B108" s="15"/>
      <c r="C108" s="28"/>
      <c r="D108" s="14"/>
      <c r="E108" s="15"/>
      <c r="F108" s="59"/>
      <c r="G108" s="59"/>
      <c r="H108" s="17"/>
      <c r="I108" s="100"/>
      <c r="J108" s="55"/>
      <c r="K108" s="48"/>
      <c r="L108" s="52"/>
      <c r="M108" s="28"/>
      <c r="N108" s="37"/>
      <c r="O108" s="41"/>
      <c r="Q108" s="37"/>
    </row>
    <row r="109" spans="1:17" s="10" customFormat="1" ht="12.75">
      <c r="A109" s="3"/>
      <c r="B109" s="15"/>
      <c r="C109" s="28"/>
      <c r="D109" s="14"/>
      <c r="E109" s="15"/>
      <c r="F109" s="59"/>
      <c r="G109" s="59"/>
      <c r="H109" s="17"/>
      <c r="I109" s="100"/>
      <c r="J109" s="55"/>
      <c r="K109" s="48"/>
      <c r="L109" s="52"/>
      <c r="M109" s="28"/>
      <c r="N109" s="37"/>
      <c r="O109" s="41"/>
      <c r="Q109" s="37"/>
    </row>
    <row r="110" spans="1:14" s="10" customFormat="1" ht="13.5" thickBot="1">
      <c r="A110" s="3"/>
      <c r="B110" s="1" t="s">
        <v>3</v>
      </c>
      <c r="C110" s="2" t="s">
        <v>43</v>
      </c>
      <c r="D110" s="14"/>
      <c r="E110" s="1" t="s">
        <v>4</v>
      </c>
      <c r="F110" s="54" t="s">
        <v>5</v>
      </c>
      <c r="G110" s="54" t="s">
        <v>6</v>
      </c>
      <c r="H110" s="13" t="s">
        <v>7</v>
      </c>
      <c r="I110" s="26"/>
      <c r="J110" s="28"/>
      <c r="K110" s="48"/>
      <c r="L110" s="28"/>
      <c r="N110" s="28"/>
    </row>
    <row r="111" spans="2:14" s="10" customFormat="1" ht="12.75">
      <c r="B111" s="61"/>
      <c r="C111" s="62" t="s">
        <v>44</v>
      </c>
      <c r="D111" s="33"/>
      <c r="E111" s="63"/>
      <c r="F111" s="64"/>
      <c r="G111" s="64"/>
      <c r="H111" s="65"/>
      <c r="I111" s="26"/>
      <c r="J111" s="28"/>
      <c r="K111" s="4"/>
      <c r="L111" s="28"/>
      <c r="N111" s="28"/>
    </row>
    <row r="112" spans="2:14" s="10" customFormat="1" ht="12.75">
      <c r="B112" s="6">
        <v>62</v>
      </c>
      <c r="C112" s="81" t="s">
        <v>45</v>
      </c>
      <c r="D112" s="43" t="s">
        <v>154</v>
      </c>
      <c r="E112" s="42" t="s">
        <v>0</v>
      </c>
      <c r="F112" s="58">
        <f>+(3*42*3.15*0.5*0.5)</f>
        <v>99.225</v>
      </c>
      <c r="G112" s="143"/>
      <c r="H112" s="9">
        <f>G112*F112</f>
        <v>0</v>
      </c>
      <c r="I112" s="136"/>
      <c r="J112" s="28"/>
      <c r="K112" s="46"/>
      <c r="L112" s="28"/>
      <c r="N112" s="28"/>
    </row>
    <row r="113" spans="2:14" s="10" customFormat="1" ht="12.75">
      <c r="B113" s="6">
        <v>63</v>
      </c>
      <c r="C113" s="81" t="s">
        <v>46</v>
      </c>
      <c r="D113" s="43" t="s">
        <v>47</v>
      </c>
      <c r="E113" s="42" t="s">
        <v>14</v>
      </c>
      <c r="F113" s="58">
        <f>42*10*100/1000</f>
        <v>42</v>
      </c>
      <c r="G113" s="143"/>
      <c r="H113" s="9">
        <f>G113*F113</f>
        <v>0</v>
      </c>
      <c r="I113" s="26"/>
      <c r="J113" s="28"/>
      <c r="K113" s="46"/>
      <c r="L113" s="28"/>
      <c r="N113" s="28"/>
    </row>
    <row r="114" spans="2:14" s="10" customFormat="1" ht="12.75">
      <c r="B114" s="6">
        <v>64</v>
      </c>
      <c r="C114" s="81" t="s">
        <v>22</v>
      </c>
      <c r="D114" s="8" t="s">
        <v>48</v>
      </c>
      <c r="E114" s="42" t="s">
        <v>14</v>
      </c>
      <c r="F114" s="58">
        <f>+F113</f>
        <v>42</v>
      </c>
      <c r="G114" s="143"/>
      <c r="H114" s="9">
        <f>G114*F114</f>
        <v>0</v>
      </c>
      <c r="I114" s="26"/>
      <c r="J114" s="28"/>
      <c r="K114" s="46"/>
      <c r="L114" s="28"/>
      <c r="N114" s="28"/>
    </row>
    <row r="115" spans="2:14" s="10" customFormat="1" ht="12.75">
      <c r="B115" s="6">
        <v>65</v>
      </c>
      <c r="C115" s="81" t="s">
        <v>23</v>
      </c>
      <c r="D115" s="8" t="s">
        <v>24</v>
      </c>
      <c r="E115" s="42" t="s">
        <v>14</v>
      </c>
      <c r="F115" s="58">
        <f>+F114</f>
        <v>42</v>
      </c>
      <c r="G115" s="143"/>
      <c r="H115" s="9">
        <f>G115*F115</f>
        <v>0</v>
      </c>
      <c r="I115" s="26"/>
      <c r="J115" s="28"/>
      <c r="K115" s="46"/>
      <c r="L115" s="28"/>
      <c r="N115" s="28"/>
    </row>
    <row r="116" spans="2:14" s="10" customFormat="1" ht="12.75">
      <c r="B116" s="6"/>
      <c r="C116" s="66" t="s">
        <v>49</v>
      </c>
      <c r="D116" s="43"/>
      <c r="E116" s="42"/>
      <c r="F116" s="58"/>
      <c r="G116" s="58"/>
      <c r="H116" s="9"/>
      <c r="I116" s="26"/>
      <c r="J116" s="28"/>
      <c r="K116" s="46"/>
      <c r="L116" s="28"/>
      <c r="N116" s="28"/>
    </row>
    <row r="117" spans="2:12" s="27" customFormat="1" ht="12.75">
      <c r="B117" s="6">
        <v>66</v>
      </c>
      <c r="C117" s="80" t="s">
        <v>87</v>
      </c>
      <c r="D117" s="8" t="s">
        <v>158</v>
      </c>
      <c r="E117" s="42" t="s">
        <v>0</v>
      </c>
      <c r="F117" s="58">
        <f>+(70)*3</f>
        <v>210</v>
      </c>
      <c r="G117" s="143"/>
      <c r="H117" s="9">
        <f>G117*F117</f>
        <v>0</v>
      </c>
      <c r="I117" s="60"/>
      <c r="K117" s="10"/>
      <c r="L117" s="79"/>
    </row>
    <row r="118" spans="2:14" s="10" customFormat="1" ht="12.75">
      <c r="B118" s="6">
        <v>67</v>
      </c>
      <c r="C118" s="81" t="s">
        <v>46</v>
      </c>
      <c r="D118" s="43" t="s">
        <v>50</v>
      </c>
      <c r="E118" s="42" t="s">
        <v>14</v>
      </c>
      <c r="F118" s="58">
        <f>(F117/3)*10*20/1000</f>
        <v>14</v>
      </c>
      <c r="G118" s="143"/>
      <c r="H118" s="9">
        <f>G118*F118</f>
        <v>0</v>
      </c>
      <c r="I118" s="26"/>
      <c r="J118" s="28"/>
      <c r="L118" s="28"/>
      <c r="N118" s="28"/>
    </row>
    <row r="119" spans="2:14" s="10" customFormat="1" ht="12.75">
      <c r="B119" s="6">
        <v>68</v>
      </c>
      <c r="C119" s="81" t="s">
        <v>22</v>
      </c>
      <c r="D119" s="8" t="s">
        <v>48</v>
      </c>
      <c r="E119" s="42" t="s">
        <v>14</v>
      </c>
      <c r="F119" s="58">
        <f>F118</f>
        <v>14</v>
      </c>
      <c r="G119" s="143"/>
      <c r="H119" s="9">
        <f>G119*F119</f>
        <v>0</v>
      </c>
      <c r="I119" s="26"/>
      <c r="J119" s="28"/>
      <c r="L119" s="28"/>
      <c r="N119" s="28"/>
    </row>
    <row r="120" spans="2:17" ht="13.5" thickBot="1">
      <c r="B120" s="84">
        <v>69</v>
      </c>
      <c r="C120" s="94" t="s">
        <v>23</v>
      </c>
      <c r="D120" s="86" t="s">
        <v>24</v>
      </c>
      <c r="E120" s="87" t="s">
        <v>14</v>
      </c>
      <c r="F120" s="110">
        <f>+F119</f>
        <v>14</v>
      </c>
      <c r="G120" s="144"/>
      <c r="H120" s="89">
        <f>G120*F120</f>
        <v>0</v>
      </c>
      <c r="I120" s="136"/>
      <c r="J120" s="4"/>
      <c r="K120" s="10"/>
      <c r="L120" s="96"/>
      <c r="N120" s="4"/>
      <c r="O120" s="3"/>
      <c r="Q120" s="3"/>
    </row>
    <row r="121" spans="2:14" s="10" customFormat="1" ht="12.75">
      <c r="B121" s="1"/>
      <c r="C121" s="68"/>
      <c r="D121" s="14" t="s">
        <v>59</v>
      </c>
      <c r="E121" s="1"/>
      <c r="F121" s="54"/>
      <c r="G121" s="12"/>
      <c r="H121" s="25">
        <f>SUM(H112:H120)</f>
        <v>0</v>
      </c>
      <c r="I121" s="60"/>
      <c r="J121" s="28"/>
      <c r="L121" s="28"/>
      <c r="N121" s="28"/>
    </row>
    <row r="122" spans="2:14" s="10" customFormat="1" ht="12.75">
      <c r="B122" s="1"/>
      <c r="C122" s="68"/>
      <c r="D122" s="14"/>
      <c r="E122" s="1"/>
      <c r="F122" s="54"/>
      <c r="G122" s="12"/>
      <c r="H122" s="25"/>
      <c r="I122" s="26"/>
      <c r="J122" s="28"/>
      <c r="L122" s="28"/>
      <c r="N122" s="28"/>
    </row>
    <row r="123" spans="1:14" s="10" customFormat="1" ht="13.5" thickBot="1">
      <c r="A123" s="3"/>
      <c r="B123" s="1" t="s">
        <v>3</v>
      </c>
      <c r="C123" s="2" t="s">
        <v>51</v>
      </c>
      <c r="D123" s="14"/>
      <c r="E123" s="1" t="s">
        <v>4</v>
      </c>
      <c r="F123" s="54" t="s">
        <v>5</v>
      </c>
      <c r="G123" s="54" t="s">
        <v>6</v>
      </c>
      <c r="H123" s="13" t="s">
        <v>7</v>
      </c>
      <c r="I123" s="26"/>
      <c r="J123" s="28"/>
      <c r="K123" s="67"/>
      <c r="L123" s="28"/>
      <c r="N123" s="28"/>
    </row>
    <row r="124" spans="2:14" s="10" customFormat="1" ht="12.75">
      <c r="B124" s="61"/>
      <c r="C124" s="62" t="s">
        <v>44</v>
      </c>
      <c r="D124" s="33"/>
      <c r="E124" s="63"/>
      <c r="F124" s="64"/>
      <c r="G124" s="64"/>
      <c r="H124" s="65"/>
      <c r="I124" s="26"/>
      <c r="J124" s="28"/>
      <c r="K124" s="78"/>
      <c r="L124" s="28"/>
      <c r="N124" s="28"/>
    </row>
    <row r="125" spans="2:14" s="10" customFormat="1" ht="12.75">
      <c r="B125" s="6">
        <v>70</v>
      </c>
      <c r="C125" s="81" t="s">
        <v>52</v>
      </c>
      <c r="D125" s="43" t="s">
        <v>53</v>
      </c>
      <c r="E125" s="42" t="s">
        <v>1</v>
      </c>
      <c r="F125" s="58">
        <v>41</v>
      </c>
      <c r="G125" s="143"/>
      <c r="H125" s="9">
        <f aca="true" t="shared" si="17" ref="H125:H134">G125*F125</f>
        <v>0</v>
      </c>
      <c r="I125" s="26"/>
      <c r="J125" s="28"/>
      <c r="L125" s="28"/>
      <c r="N125" s="28"/>
    </row>
    <row r="126" spans="2:14" s="10" customFormat="1" ht="12.75">
      <c r="B126" s="6">
        <v>71</v>
      </c>
      <c r="C126" s="81" t="s">
        <v>54</v>
      </c>
      <c r="D126" s="43" t="s">
        <v>155</v>
      </c>
      <c r="E126" s="42" t="s">
        <v>1</v>
      </c>
      <c r="F126" s="58">
        <f>+(42*3*0.3)</f>
        <v>37.8</v>
      </c>
      <c r="G126" s="143"/>
      <c r="H126" s="9">
        <f t="shared" si="17"/>
        <v>0</v>
      </c>
      <c r="I126" s="26"/>
      <c r="J126" s="28"/>
      <c r="L126" s="28"/>
      <c r="N126" s="28"/>
    </row>
    <row r="127" spans="2:14" s="10" customFormat="1" ht="12.75">
      <c r="B127" s="6">
        <v>72</v>
      </c>
      <c r="C127" s="137" t="s">
        <v>42</v>
      </c>
      <c r="D127" s="43" t="s">
        <v>88</v>
      </c>
      <c r="E127" s="42" t="s">
        <v>1</v>
      </c>
      <c r="F127" s="58">
        <f>+F126</f>
        <v>37.8</v>
      </c>
      <c r="G127" s="143"/>
      <c r="H127" s="9">
        <f t="shared" si="17"/>
        <v>0</v>
      </c>
      <c r="I127" s="26"/>
      <c r="J127" s="28"/>
      <c r="K127" s="95"/>
      <c r="L127" s="28"/>
      <c r="N127" s="28"/>
    </row>
    <row r="128" spans="2:17" ht="12.75">
      <c r="B128" s="6">
        <v>73</v>
      </c>
      <c r="C128" s="81" t="s">
        <v>9</v>
      </c>
      <c r="D128" s="8" t="s">
        <v>55</v>
      </c>
      <c r="E128" s="7" t="s">
        <v>1</v>
      </c>
      <c r="F128" s="58">
        <f>+F127</f>
        <v>37.8</v>
      </c>
      <c r="G128" s="143"/>
      <c r="H128" s="9">
        <f t="shared" si="17"/>
        <v>0</v>
      </c>
      <c r="I128" s="26"/>
      <c r="J128" s="4"/>
      <c r="K128" s="10"/>
      <c r="L128" s="4"/>
      <c r="N128" s="4"/>
      <c r="O128" s="3"/>
      <c r="Q128" s="3"/>
    </row>
    <row r="129" spans="2:14" s="10" customFormat="1" ht="12.75">
      <c r="B129" s="6">
        <v>74</v>
      </c>
      <c r="C129" s="81" t="s">
        <v>45</v>
      </c>
      <c r="D129" s="43" t="s">
        <v>163</v>
      </c>
      <c r="E129" s="42" t="s">
        <v>0</v>
      </c>
      <c r="F129" s="58">
        <f>+(3*42*3.15*0.5*0.5)</f>
        <v>99.225</v>
      </c>
      <c r="G129" s="143"/>
      <c r="H129" s="9">
        <f>G129*F129</f>
        <v>0</v>
      </c>
      <c r="I129" s="136"/>
      <c r="J129" s="28"/>
      <c r="K129" s="46"/>
      <c r="L129" s="28"/>
      <c r="N129" s="28"/>
    </row>
    <row r="130" spans="2:14" s="10" customFormat="1" ht="12.75">
      <c r="B130" s="6">
        <v>75</v>
      </c>
      <c r="C130" s="81" t="s">
        <v>46</v>
      </c>
      <c r="D130" s="43" t="s">
        <v>47</v>
      </c>
      <c r="E130" s="42" t="s">
        <v>14</v>
      </c>
      <c r="F130" s="58">
        <f>42*10*100/1000</f>
        <v>42</v>
      </c>
      <c r="G130" s="143"/>
      <c r="H130" s="9">
        <f>G130*F130</f>
        <v>0</v>
      </c>
      <c r="I130" s="26"/>
      <c r="J130" s="28"/>
      <c r="K130" s="46"/>
      <c r="L130" s="28"/>
      <c r="N130" s="28"/>
    </row>
    <row r="131" spans="2:14" s="10" customFormat="1" ht="12.75">
      <c r="B131" s="6">
        <v>76</v>
      </c>
      <c r="C131" s="81" t="s">
        <v>22</v>
      </c>
      <c r="D131" s="8" t="s">
        <v>48</v>
      </c>
      <c r="E131" s="42" t="s">
        <v>14</v>
      </c>
      <c r="F131" s="58">
        <f>+F130</f>
        <v>42</v>
      </c>
      <c r="G131" s="143"/>
      <c r="H131" s="9">
        <f>G131*F131</f>
        <v>0</v>
      </c>
      <c r="I131" s="26"/>
      <c r="J131" s="28"/>
      <c r="K131" s="46"/>
      <c r="L131" s="28"/>
      <c r="N131" s="28"/>
    </row>
    <row r="132" spans="2:14" s="10" customFormat="1" ht="12.75">
      <c r="B132" s="6">
        <v>77</v>
      </c>
      <c r="C132" s="81" t="s">
        <v>23</v>
      </c>
      <c r="D132" s="8" t="s">
        <v>24</v>
      </c>
      <c r="E132" s="42" t="s">
        <v>14</v>
      </c>
      <c r="F132" s="58">
        <f>+F131</f>
        <v>42</v>
      </c>
      <c r="G132" s="143"/>
      <c r="H132" s="9">
        <f>G132*F132</f>
        <v>0</v>
      </c>
      <c r="I132" s="26"/>
      <c r="J132" s="28"/>
      <c r="K132" s="46"/>
      <c r="L132" s="28"/>
      <c r="N132" s="28"/>
    </row>
    <row r="133" spans="2:12" s="27" customFormat="1" ht="25.5">
      <c r="B133" s="6">
        <v>78</v>
      </c>
      <c r="C133" s="80" t="s">
        <v>21</v>
      </c>
      <c r="D133" s="8" t="s">
        <v>56</v>
      </c>
      <c r="E133" s="42" t="s">
        <v>8</v>
      </c>
      <c r="F133" s="134">
        <f>(F130*100)*0.001*0.001</f>
        <v>0.004200000000000001</v>
      </c>
      <c r="G133" s="143"/>
      <c r="H133" s="9">
        <f t="shared" si="17"/>
        <v>0</v>
      </c>
      <c r="I133" s="26"/>
      <c r="K133" s="10"/>
      <c r="L133" s="79"/>
    </row>
    <row r="134" spans="1:17" ht="12.75">
      <c r="A134" s="10"/>
      <c r="B134" s="6">
        <v>79</v>
      </c>
      <c r="C134" s="81" t="s">
        <v>9</v>
      </c>
      <c r="D134" s="8" t="s">
        <v>57</v>
      </c>
      <c r="E134" s="7" t="s">
        <v>10</v>
      </c>
      <c r="F134" s="105">
        <f>+F133*1000</f>
        <v>4.2</v>
      </c>
      <c r="G134" s="143"/>
      <c r="H134" s="9">
        <f t="shared" si="17"/>
        <v>0</v>
      </c>
      <c r="I134" s="26"/>
      <c r="J134" s="4"/>
      <c r="K134" s="10"/>
      <c r="L134" s="96"/>
      <c r="N134" s="4"/>
      <c r="O134" s="3"/>
      <c r="Q134" s="3"/>
    </row>
    <row r="135" spans="2:17" ht="25.5">
      <c r="B135" s="6">
        <v>80</v>
      </c>
      <c r="C135" s="81" t="s">
        <v>25</v>
      </c>
      <c r="D135" s="8" t="s">
        <v>26</v>
      </c>
      <c r="E135" s="82" t="s">
        <v>8</v>
      </c>
      <c r="F135" s="58">
        <f>F133+F128*0.003</f>
        <v>0.11759999999999998</v>
      </c>
      <c r="G135" s="143"/>
      <c r="H135" s="9">
        <f>G135*F135</f>
        <v>0</v>
      </c>
      <c r="I135" s="26"/>
      <c r="J135" s="3"/>
      <c r="K135" s="10"/>
      <c r="L135" s="4"/>
      <c r="N135" s="4"/>
      <c r="O135" s="3"/>
      <c r="Q135" s="3"/>
    </row>
    <row r="136" spans="2:14" s="10" customFormat="1" ht="12.75">
      <c r="B136" s="6"/>
      <c r="C136" s="66" t="s">
        <v>49</v>
      </c>
      <c r="D136" s="43"/>
      <c r="E136" s="42"/>
      <c r="F136" s="58"/>
      <c r="G136" s="58"/>
      <c r="H136" s="9"/>
      <c r="I136" s="26"/>
      <c r="J136" s="28"/>
      <c r="L136" s="28"/>
      <c r="N136" s="28"/>
    </row>
    <row r="137" spans="2:12" s="27" customFormat="1" ht="12.75">
      <c r="B137" s="6">
        <v>81</v>
      </c>
      <c r="C137" s="80" t="s">
        <v>87</v>
      </c>
      <c r="D137" s="8" t="s">
        <v>158</v>
      </c>
      <c r="E137" s="42" t="s">
        <v>0</v>
      </c>
      <c r="F137" s="58">
        <f>+(70)*3</f>
        <v>210</v>
      </c>
      <c r="G137" s="143"/>
      <c r="H137" s="9">
        <f>G137*F137</f>
        <v>0</v>
      </c>
      <c r="I137" s="60"/>
      <c r="K137" s="10"/>
      <c r="L137" s="79"/>
    </row>
    <row r="138" spans="2:12" s="27" customFormat="1" ht="25.5">
      <c r="B138" s="6">
        <v>82</v>
      </c>
      <c r="C138" s="81" t="s">
        <v>21</v>
      </c>
      <c r="D138" s="8" t="s">
        <v>58</v>
      </c>
      <c r="E138" s="42" t="s">
        <v>8</v>
      </c>
      <c r="F138" s="117">
        <f>(F137/3*20)*0.001*0.001</f>
        <v>0.0014000000000000002</v>
      </c>
      <c r="G138" s="143"/>
      <c r="H138" s="9">
        <f>G138*F138</f>
        <v>0</v>
      </c>
      <c r="I138" s="26"/>
      <c r="K138" s="78"/>
      <c r="L138" s="79"/>
    </row>
    <row r="139" spans="2:14" s="10" customFormat="1" ht="12.75">
      <c r="B139" s="6">
        <v>83</v>
      </c>
      <c r="C139" s="81" t="s">
        <v>9</v>
      </c>
      <c r="D139" s="8" t="s">
        <v>57</v>
      </c>
      <c r="E139" s="7" t="s">
        <v>10</v>
      </c>
      <c r="F139" s="105">
        <f>+F138*1000</f>
        <v>1.4000000000000001</v>
      </c>
      <c r="G139" s="143"/>
      <c r="H139" s="9">
        <f aca="true" t="shared" si="18" ref="H139">G139*F139</f>
        <v>0</v>
      </c>
      <c r="I139" s="26"/>
      <c r="J139" s="4"/>
      <c r="K139" s="83"/>
      <c r="L139" s="28"/>
      <c r="N139" s="28"/>
    </row>
    <row r="140" spans="2:14" s="10" customFormat="1" ht="12.75">
      <c r="B140" s="6">
        <v>84</v>
      </c>
      <c r="C140" s="81" t="s">
        <v>46</v>
      </c>
      <c r="D140" s="43" t="s">
        <v>50</v>
      </c>
      <c r="E140" s="42" t="s">
        <v>14</v>
      </c>
      <c r="F140" s="105">
        <f>(F137/3)*10*20/1000</f>
        <v>14</v>
      </c>
      <c r="G140" s="143"/>
      <c r="H140" s="9">
        <f>G140*F140</f>
        <v>0</v>
      </c>
      <c r="I140" s="26"/>
      <c r="J140" s="28"/>
      <c r="K140" s="78"/>
      <c r="L140" s="28"/>
      <c r="N140" s="28"/>
    </row>
    <row r="141" spans="2:14" s="10" customFormat="1" ht="12.75">
      <c r="B141" s="6">
        <v>85</v>
      </c>
      <c r="C141" s="81" t="s">
        <v>22</v>
      </c>
      <c r="D141" s="8" t="s">
        <v>48</v>
      </c>
      <c r="E141" s="42" t="s">
        <v>14</v>
      </c>
      <c r="F141" s="105">
        <f>F140</f>
        <v>14</v>
      </c>
      <c r="G141" s="143"/>
      <c r="H141" s="9">
        <f>G141*F141</f>
        <v>0</v>
      </c>
      <c r="I141" s="26"/>
      <c r="J141" s="28"/>
      <c r="K141" s="3"/>
      <c r="L141" s="28"/>
      <c r="N141" s="28"/>
    </row>
    <row r="142" spans="2:17" ht="12.75">
      <c r="B142" s="6">
        <v>86</v>
      </c>
      <c r="C142" s="81" t="s">
        <v>23</v>
      </c>
      <c r="D142" s="8" t="s">
        <v>24</v>
      </c>
      <c r="E142" s="7" t="s">
        <v>14</v>
      </c>
      <c r="F142" s="105">
        <f>+F141</f>
        <v>14</v>
      </c>
      <c r="G142" s="143"/>
      <c r="H142" s="9">
        <f>G142*F142</f>
        <v>0</v>
      </c>
      <c r="I142" s="136"/>
      <c r="J142" s="4"/>
      <c r="K142" s="83"/>
      <c r="L142" s="96"/>
      <c r="N142" s="4"/>
      <c r="O142" s="3"/>
      <c r="Q142" s="3"/>
    </row>
    <row r="143" spans="2:17" ht="26.25" thickBot="1">
      <c r="B143" s="84">
        <v>87</v>
      </c>
      <c r="C143" s="94" t="s">
        <v>25</v>
      </c>
      <c r="D143" s="86" t="s">
        <v>26</v>
      </c>
      <c r="E143" s="98" t="s">
        <v>8</v>
      </c>
      <c r="F143" s="88">
        <f>+F138</f>
        <v>0.0014000000000000002</v>
      </c>
      <c r="G143" s="144"/>
      <c r="H143" s="89">
        <f>G143*F143</f>
        <v>0</v>
      </c>
      <c r="I143" s="136"/>
      <c r="J143" s="3"/>
      <c r="K143" s="78"/>
      <c r="L143" s="4"/>
      <c r="N143" s="4"/>
      <c r="O143" s="3"/>
      <c r="Q143" s="3"/>
    </row>
    <row r="144" spans="2:14" s="10" customFormat="1" ht="12.75">
      <c r="B144" s="1"/>
      <c r="C144" s="68"/>
      <c r="D144" s="14" t="s">
        <v>60</v>
      </c>
      <c r="E144" s="1"/>
      <c r="F144" s="54"/>
      <c r="G144" s="12"/>
      <c r="H144" s="25">
        <f>SUM(H125:H143)</f>
        <v>0</v>
      </c>
      <c r="I144" s="60"/>
      <c r="J144" s="28"/>
      <c r="L144" s="28"/>
      <c r="N144" s="28"/>
    </row>
    <row r="145" spans="2:14" s="10" customFormat="1" ht="12.75">
      <c r="B145" s="1"/>
      <c r="C145" s="68"/>
      <c r="D145" s="14"/>
      <c r="E145" s="1"/>
      <c r="F145" s="54"/>
      <c r="G145" s="12"/>
      <c r="H145" s="25"/>
      <c r="I145" s="69"/>
      <c r="J145" s="28"/>
      <c r="L145" s="28"/>
      <c r="N145" s="28"/>
    </row>
    <row r="146" spans="2:14" s="10" customFormat="1" ht="12.75">
      <c r="B146" s="1"/>
      <c r="C146" s="68"/>
      <c r="D146" s="14"/>
      <c r="E146" s="1"/>
      <c r="F146" s="54"/>
      <c r="G146" s="12"/>
      <c r="H146" s="25"/>
      <c r="I146" s="69"/>
      <c r="J146" s="28"/>
      <c r="L146" s="28"/>
      <c r="N146" s="28"/>
    </row>
    <row r="147" spans="2:14" s="10" customFormat="1" ht="12.75">
      <c r="B147" s="1"/>
      <c r="C147" s="68"/>
      <c r="D147" s="14"/>
      <c r="E147" s="1"/>
      <c r="F147" s="54"/>
      <c r="G147" s="12"/>
      <c r="H147" s="25"/>
      <c r="I147" s="69"/>
      <c r="J147" s="28"/>
      <c r="L147" s="28"/>
      <c r="N147" s="28"/>
    </row>
    <row r="148" spans="1:14" s="10" customFormat="1" ht="13.5" thickBot="1">
      <c r="A148" s="3"/>
      <c r="B148" s="1" t="s">
        <v>3</v>
      </c>
      <c r="C148" s="2" t="s">
        <v>79</v>
      </c>
      <c r="D148" s="14"/>
      <c r="E148" s="1" t="s">
        <v>4</v>
      </c>
      <c r="F148" s="54" t="s">
        <v>5</v>
      </c>
      <c r="G148" s="54" t="s">
        <v>6</v>
      </c>
      <c r="H148" s="13" t="s">
        <v>7</v>
      </c>
      <c r="I148" s="26"/>
      <c r="J148" s="28"/>
      <c r="L148" s="28"/>
      <c r="N148" s="28"/>
    </row>
    <row r="149" spans="2:14" s="10" customFormat="1" ht="12.75">
      <c r="B149" s="61"/>
      <c r="C149" s="62" t="s">
        <v>44</v>
      </c>
      <c r="D149" s="33"/>
      <c r="E149" s="63"/>
      <c r="F149" s="64"/>
      <c r="G149" s="64"/>
      <c r="H149" s="65"/>
      <c r="I149" s="26"/>
      <c r="J149" s="28"/>
      <c r="K149" s="78"/>
      <c r="L149" s="28"/>
      <c r="N149" s="28"/>
    </row>
    <row r="150" spans="2:14" s="10" customFormat="1" ht="12.75">
      <c r="B150" s="6">
        <v>88</v>
      </c>
      <c r="C150" s="81" t="s">
        <v>52</v>
      </c>
      <c r="D150" s="43" t="s">
        <v>53</v>
      </c>
      <c r="E150" s="42" t="s">
        <v>1</v>
      </c>
      <c r="F150" s="58">
        <v>41</v>
      </c>
      <c r="G150" s="58"/>
      <c r="H150" s="9">
        <f aca="true" t="shared" si="19" ref="H150">G150*F150</f>
        <v>0</v>
      </c>
      <c r="I150" s="26"/>
      <c r="J150" s="28"/>
      <c r="L150" s="28"/>
      <c r="N150" s="28"/>
    </row>
    <row r="151" spans="2:14" s="10" customFormat="1" ht="12.75">
      <c r="B151" s="6">
        <v>89</v>
      </c>
      <c r="C151" s="81" t="s">
        <v>45</v>
      </c>
      <c r="D151" s="43" t="s">
        <v>154</v>
      </c>
      <c r="E151" s="42" t="s">
        <v>0</v>
      </c>
      <c r="F151" s="58">
        <f>+(3*42*3.15*0.5*0.5)</f>
        <v>99.225</v>
      </c>
      <c r="G151" s="58"/>
      <c r="H151" s="9">
        <f>G151*F151</f>
        <v>0</v>
      </c>
      <c r="I151" s="136"/>
      <c r="J151" s="28"/>
      <c r="K151" s="46"/>
      <c r="L151" s="28"/>
      <c r="N151" s="28"/>
    </row>
    <row r="152" spans="2:14" s="10" customFormat="1" ht="12.75">
      <c r="B152" s="6">
        <v>90</v>
      </c>
      <c r="C152" s="81" t="s">
        <v>46</v>
      </c>
      <c r="D152" s="43" t="s">
        <v>47</v>
      </c>
      <c r="E152" s="42" t="s">
        <v>14</v>
      </c>
      <c r="F152" s="58">
        <f>42*10*100/1000</f>
        <v>42</v>
      </c>
      <c r="G152" s="58"/>
      <c r="H152" s="9">
        <f>G152*F152</f>
        <v>0</v>
      </c>
      <c r="I152" s="26"/>
      <c r="J152" s="28"/>
      <c r="K152" s="46"/>
      <c r="L152" s="28"/>
      <c r="N152" s="28"/>
    </row>
    <row r="153" spans="2:14" s="10" customFormat="1" ht="12.75">
      <c r="B153" s="6">
        <v>91</v>
      </c>
      <c r="C153" s="81" t="s">
        <v>22</v>
      </c>
      <c r="D153" s="8" t="s">
        <v>48</v>
      </c>
      <c r="E153" s="42" t="s">
        <v>14</v>
      </c>
      <c r="F153" s="58">
        <f>+F152</f>
        <v>42</v>
      </c>
      <c r="G153" s="58"/>
      <c r="H153" s="9">
        <f>G153*F153</f>
        <v>0</v>
      </c>
      <c r="I153" s="26"/>
      <c r="J153" s="28"/>
      <c r="K153" s="46"/>
      <c r="L153" s="28"/>
      <c r="N153" s="28"/>
    </row>
    <row r="154" spans="2:14" s="10" customFormat="1" ht="12.75">
      <c r="B154" s="6">
        <v>92</v>
      </c>
      <c r="C154" s="81" t="s">
        <v>23</v>
      </c>
      <c r="D154" s="8" t="s">
        <v>24</v>
      </c>
      <c r="E154" s="42" t="s">
        <v>14</v>
      </c>
      <c r="F154" s="58">
        <f>+F153</f>
        <v>42</v>
      </c>
      <c r="G154" s="58"/>
      <c r="H154" s="9">
        <f>G154*F154</f>
        <v>0</v>
      </c>
      <c r="I154" s="26"/>
      <c r="J154" s="28"/>
      <c r="K154" s="46"/>
      <c r="L154" s="28"/>
      <c r="N154" s="28"/>
    </row>
    <row r="155" spans="2:12" s="27" customFormat="1" ht="25.5">
      <c r="B155" s="6">
        <v>93</v>
      </c>
      <c r="C155" s="80" t="s">
        <v>21</v>
      </c>
      <c r="D155" s="8" t="s">
        <v>56</v>
      </c>
      <c r="E155" s="42" t="s">
        <v>8</v>
      </c>
      <c r="F155" s="134">
        <f>(F152*100)*0.001*0.001</f>
        <v>0.004200000000000001</v>
      </c>
      <c r="G155" s="58"/>
      <c r="H155" s="9">
        <f aca="true" t="shared" si="20" ref="H155:H158">G155*F155</f>
        <v>0</v>
      </c>
      <c r="I155" s="26"/>
      <c r="K155" s="10"/>
      <c r="L155" s="79"/>
    </row>
    <row r="156" spans="1:17" ht="12.75">
      <c r="A156" s="10"/>
      <c r="B156" s="6">
        <v>94</v>
      </c>
      <c r="C156" s="81" t="s">
        <v>9</v>
      </c>
      <c r="D156" s="8" t="s">
        <v>57</v>
      </c>
      <c r="E156" s="7" t="s">
        <v>10</v>
      </c>
      <c r="F156" s="105">
        <f>+F155*1000</f>
        <v>4.2</v>
      </c>
      <c r="G156" s="58"/>
      <c r="H156" s="9">
        <f t="shared" si="20"/>
        <v>0</v>
      </c>
      <c r="I156" s="26"/>
      <c r="J156" s="4"/>
      <c r="K156" s="10"/>
      <c r="L156" s="96"/>
      <c r="N156" s="4"/>
      <c r="O156" s="3"/>
      <c r="Q156" s="3"/>
    </row>
    <row r="157" spans="2:12" s="27" customFormat="1" ht="25.5">
      <c r="B157" s="6">
        <v>95</v>
      </c>
      <c r="C157" s="80" t="s">
        <v>20</v>
      </c>
      <c r="D157" s="8" t="s">
        <v>156</v>
      </c>
      <c r="E157" s="42" t="s">
        <v>0</v>
      </c>
      <c r="F157" s="58">
        <f>+(42*3.14*0.5*0.5)</f>
        <v>32.97</v>
      </c>
      <c r="G157" s="58"/>
      <c r="H157" s="9">
        <f t="shared" si="20"/>
        <v>0</v>
      </c>
      <c r="I157" s="136"/>
      <c r="J157" s="97"/>
      <c r="K157" s="3"/>
      <c r="L157" s="79"/>
    </row>
    <row r="158" spans="2:17" ht="12.75">
      <c r="B158" s="6">
        <v>96</v>
      </c>
      <c r="C158" s="81" t="s">
        <v>9</v>
      </c>
      <c r="D158" s="8" t="s">
        <v>89</v>
      </c>
      <c r="E158" s="7" t="s">
        <v>14</v>
      </c>
      <c r="F158" s="58">
        <f>(F157)*0.05</f>
        <v>1.6485</v>
      </c>
      <c r="G158" s="58"/>
      <c r="H158" s="9">
        <f t="shared" si="20"/>
        <v>0</v>
      </c>
      <c r="I158" s="26"/>
      <c r="J158" s="4"/>
      <c r="K158" s="10"/>
      <c r="L158" s="4"/>
      <c r="N158" s="4"/>
      <c r="O158" s="3"/>
      <c r="Q158" s="3"/>
    </row>
    <row r="159" spans="2:17" ht="25.5">
      <c r="B159" s="6">
        <v>97</v>
      </c>
      <c r="C159" s="81" t="s">
        <v>25</v>
      </c>
      <c r="D159" s="8" t="s">
        <v>26</v>
      </c>
      <c r="E159" s="82" t="s">
        <v>8</v>
      </c>
      <c r="F159" s="58">
        <f>F158*0.3+F155+(41*3+1)*0.003+F162*0.0003</f>
        <v>0.8774099999999999</v>
      </c>
      <c r="G159" s="58"/>
      <c r="H159" s="9">
        <f>G159*F159</f>
        <v>0</v>
      </c>
      <c r="I159" s="26"/>
      <c r="J159" s="3"/>
      <c r="K159" s="10"/>
      <c r="L159" s="4"/>
      <c r="N159" s="4"/>
      <c r="O159" s="3"/>
      <c r="Q159" s="3"/>
    </row>
    <row r="160" spans="2:14" s="10" customFormat="1" ht="12.75">
      <c r="B160" s="6">
        <v>98</v>
      </c>
      <c r="C160" s="81" t="s">
        <v>82</v>
      </c>
      <c r="D160" s="43" t="s">
        <v>81</v>
      </c>
      <c r="E160" s="42" t="s">
        <v>1</v>
      </c>
      <c r="F160" s="58">
        <v>1</v>
      </c>
      <c r="G160" s="58"/>
      <c r="H160" s="9">
        <f>G160*F160</f>
        <v>0</v>
      </c>
      <c r="I160" s="26"/>
      <c r="J160" s="28"/>
      <c r="K160" s="48"/>
      <c r="L160" s="28"/>
      <c r="N160" s="28"/>
    </row>
    <row r="161" spans="2:14" s="10" customFormat="1" ht="12.75">
      <c r="B161" s="6">
        <v>99</v>
      </c>
      <c r="C161" s="81" t="s">
        <v>84</v>
      </c>
      <c r="D161" s="43" t="s">
        <v>83</v>
      </c>
      <c r="E161" s="42" t="s">
        <v>1</v>
      </c>
      <c r="F161" s="58">
        <v>41</v>
      </c>
      <c r="G161" s="58"/>
      <c r="H161" s="9">
        <f>G161*F161</f>
        <v>0</v>
      </c>
      <c r="I161" s="26"/>
      <c r="J161" s="28"/>
      <c r="K161" s="3"/>
      <c r="L161" s="28"/>
      <c r="N161" s="28"/>
    </row>
    <row r="162" spans="2:14" s="10" customFormat="1" ht="12.75">
      <c r="B162" s="6">
        <v>100</v>
      </c>
      <c r="C162" s="81" t="s">
        <v>86</v>
      </c>
      <c r="D162" s="8" t="s">
        <v>85</v>
      </c>
      <c r="E162" s="42" t="s">
        <v>0</v>
      </c>
      <c r="F162" s="58">
        <f>+F75</f>
        <v>22.2</v>
      </c>
      <c r="G162" s="58"/>
      <c r="H162" s="9">
        <f>G162*F162</f>
        <v>0</v>
      </c>
      <c r="I162" s="136"/>
      <c r="J162" s="28"/>
      <c r="K162" s="83"/>
      <c r="L162" s="28"/>
      <c r="N162" s="28"/>
    </row>
    <row r="163" spans="2:14" s="10" customFormat="1" ht="12.75">
      <c r="B163" s="6"/>
      <c r="C163" s="66" t="s">
        <v>49</v>
      </c>
      <c r="D163" s="43"/>
      <c r="E163" s="42"/>
      <c r="F163" s="58"/>
      <c r="G163" s="58"/>
      <c r="H163" s="9"/>
      <c r="I163" s="26"/>
      <c r="J163" s="28"/>
      <c r="L163" s="28"/>
      <c r="N163" s="28"/>
    </row>
    <row r="164" spans="2:12" s="27" customFormat="1" ht="12.75">
      <c r="B164" s="6">
        <v>101</v>
      </c>
      <c r="C164" s="80" t="s">
        <v>87</v>
      </c>
      <c r="D164" s="8" t="s">
        <v>158</v>
      </c>
      <c r="E164" s="42" t="s">
        <v>0</v>
      </c>
      <c r="F164" s="58">
        <f>+(70)*3</f>
        <v>210</v>
      </c>
      <c r="G164" s="58"/>
      <c r="H164" s="9">
        <f>G164*F164</f>
        <v>0</v>
      </c>
      <c r="I164" s="60"/>
      <c r="K164" s="10"/>
      <c r="L164" s="79"/>
    </row>
    <row r="165" spans="2:12" s="27" customFormat="1" ht="25.5">
      <c r="B165" s="6">
        <v>102</v>
      </c>
      <c r="C165" s="81" t="s">
        <v>21</v>
      </c>
      <c r="D165" s="8" t="s">
        <v>58</v>
      </c>
      <c r="E165" s="42" t="s">
        <v>8</v>
      </c>
      <c r="F165" s="117">
        <f>(F164/3*20)*0.001*0.001</f>
        <v>0.0014000000000000002</v>
      </c>
      <c r="G165" s="58"/>
      <c r="H165" s="9">
        <f>G165*F165</f>
        <v>0</v>
      </c>
      <c r="I165" s="26"/>
      <c r="K165" s="78"/>
      <c r="L165" s="79"/>
    </row>
    <row r="166" spans="2:14" s="10" customFormat="1" ht="12.75">
      <c r="B166" s="6">
        <v>103</v>
      </c>
      <c r="C166" s="81" t="s">
        <v>9</v>
      </c>
      <c r="D166" s="8" t="s">
        <v>57</v>
      </c>
      <c r="E166" s="7" t="s">
        <v>10</v>
      </c>
      <c r="F166" s="105">
        <f>+F165*1000</f>
        <v>1.4000000000000001</v>
      </c>
      <c r="G166" s="58"/>
      <c r="H166" s="9">
        <f aca="true" t="shared" si="21" ref="H166">G166*F166</f>
        <v>0</v>
      </c>
      <c r="I166" s="26"/>
      <c r="J166" s="4"/>
      <c r="K166" s="83"/>
      <c r="L166" s="28"/>
      <c r="N166" s="28"/>
    </row>
    <row r="167" spans="2:14" s="10" customFormat="1" ht="12.75">
      <c r="B167" s="6">
        <v>104</v>
      </c>
      <c r="C167" s="81" t="s">
        <v>46</v>
      </c>
      <c r="D167" s="43" t="s">
        <v>50</v>
      </c>
      <c r="E167" s="42" t="s">
        <v>14</v>
      </c>
      <c r="F167" s="105">
        <f>(F164/3)*10*20/1000</f>
        <v>14</v>
      </c>
      <c r="G167" s="58"/>
      <c r="H167" s="9">
        <f>G167*F167</f>
        <v>0</v>
      </c>
      <c r="I167" s="26"/>
      <c r="J167" s="28"/>
      <c r="K167" s="78"/>
      <c r="L167" s="28"/>
      <c r="N167" s="28"/>
    </row>
    <row r="168" spans="2:14" s="10" customFormat="1" ht="12.75">
      <c r="B168" s="6">
        <v>105</v>
      </c>
      <c r="C168" s="81" t="s">
        <v>22</v>
      </c>
      <c r="D168" s="8" t="s">
        <v>48</v>
      </c>
      <c r="E168" s="42" t="s">
        <v>14</v>
      </c>
      <c r="F168" s="105">
        <f>F167</f>
        <v>14</v>
      </c>
      <c r="G168" s="58"/>
      <c r="H168" s="9">
        <f>G168*F168</f>
        <v>0</v>
      </c>
      <c r="I168" s="26"/>
      <c r="J168" s="28"/>
      <c r="K168" s="3"/>
      <c r="L168" s="28"/>
      <c r="N168" s="28"/>
    </row>
    <row r="169" spans="2:17" ht="12.75">
      <c r="B169" s="6">
        <v>106</v>
      </c>
      <c r="C169" s="81" t="s">
        <v>23</v>
      </c>
      <c r="D169" s="8" t="s">
        <v>24</v>
      </c>
      <c r="E169" s="7" t="s">
        <v>14</v>
      </c>
      <c r="F169" s="105">
        <f>+F168</f>
        <v>14</v>
      </c>
      <c r="G169" s="58"/>
      <c r="H169" s="9">
        <f>G169*F169</f>
        <v>0</v>
      </c>
      <c r="I169" s="136"/>
      <c r="J169" s="4"/>
      <c r="K169" s="83"/>
      <c r="L169" s="96"/>
      <c r="N169" s="4"/>
      <c r="O169" s="3"/>
      <c r="Q169" s="3"/>
    </row>
    <row r="170" spans="2:17" s="27" customFormat="1" ht="12.75">
      <c r="B170" s="6">
        <v>107</v>
      </c>
      <c r="C170" s="42" t="s">
        <v>20</v>
      </c>
      <c r="D170" s="8" t="s">
        <v>159</v>
      </c>
      <c r="E170" s="42" t="s">
        <v>0</v>
      </c>
      <c r="F170" s="58">
        <f>+(F164/3)</f>
        <v>70</v>
      </c>
      <c r="G170" s="58"/>
      <c r="H170" s="9">
        <f aca="true" t="shared" si="22" ref="H170:H171">G170*F170</f>
        <v>0</v>
      </c>
      <c r="I170" s="99"/>
      <c r="K170" s="10"/>
      <c r="L170" s="48"/>
      <c r="M170" s="79"/>
      <c r="N170" s="36"/>
      <c r="O170" s="40"/>
      <c r="Q170" s="36"/>
    </row>
    <row r="171" spans="2:17" ht="12.75">
      <c r="B171" s="6">
        <v>108</v>
      </c>
      <c r="C171" s="81" t="s">
        <v>9</v>
      </c>
      <c r="D171" s="8" t="s">
        <v>90</v>
      </c>
      <c r="E171" s="7" t="s">
        <v>14</v>
      </c>
      <c r="F171" s="58">
        <f>+F170*0.05</f>
        <v>3.5</v>
      </c>
      <c r="G171" s="58"/>
      <c r="H171" s="9">
        <f t="shared" si="22"/>
        <v>0</v>
      </c>
      <c r="I171" s="26"/>
      <c r="J171" s="4"/>
      <c r="K171" s="78"/>
      <c r="L171" s="4"/>
      <c r="N171" s="4"/>
      <c r="O171" s="3"/>
      <c r="Q171" s="3"/>
    </row>
    <row r="172" spans="2:17" ht="26.25" thickBot="1">
      <c r="B172" s="84">
        <v>109</v>
      </c>
      <c r="C172" s="94" t="s">
        <v>25</v>
      </c>
      <c r="D172" s="86" t="s">
        <v>26</v>
      </c>
      <c r="E172" s="98" t="s">
        <v>8</v>
      </c>
      <c r="F172" s="88">
        <f>F171*0.3+F165</f>
        <v>1.0514000000000001</v>
      </c>
      <c r="G172" s="88"/>
      <c r="H172" s="89">
        <f>G172*F172</f>
        <v>0</v>
      </c>
      <c r="I172" s="136"/>
      <c r="J172" s="3"/>
      <c r="K172" s="78"/>
      <c r="L172" s="4"/>
      <c r="N172" s="4"/>
      <c r="O172" s="3"/>
      <c r="Q172" s="3"/>
    </row>
    <row r="173" spans="2:14" s="10" customFormat="1" ht="12.75">
      <c r="B173" s="1"/>
      <c r="C173" s="68"/>
      <c r="D173" s="14" t="s">
        <v>80</v>
      </c>
      <c r="E173" s="1"/>
      <c r="F173" s="54"/>
      <c r="G173" s="12"/>
      <c r="H173" s="25">
        <f>SUM(H150:H172)</f>
        <v>0</v>
      </c>
      <c r="I173" s="60"/>
      <c r="J173" s="28"/>
      <c r="L173" s="28"/>
      <c r="N173" s="28"/>
    </row>
    <row r="174" spans="3:17" ht="18">
      <c r="C174" s="73"/>
      <c r="D174" s="138"/>
      <c r="E174" s="138"/>
      <c r="F174" s="138"/>
      <c r="G174" s="138"/>
      <c r="H174" s="138"/>
      <c r="I174" s="138"/>
      <c r="J174" s="138"/>
      <c r="K174" s="3"/>
      <c r="L174" s="3"/>
      <c r="M174" s="4"/>
      <c r="N174" s="3"/>
      <c r="O174" s="3"/>
      <c r="Q174" s="3"/>
    </row>
    <row r="175" spans="3:17" ht="12.75">
      <c r="C175" s="73"/>
      <c r="G175" s="12"/>
      <c r="I175" s="4"/>
      <c r="J175" s="3"/>
      <c r="K175" s="3"/>
      <c r="L175" s="3"/>
      <c r="M175" s="4"/>
      <c r="N175" s="3"/>
      <c r="O175" s="3"/>
      <c r="Q175" s="3"/>
    </row>
    <row r="176" spans="3:17" ht="12.75">
      <c r="C176" s="73"/>
      <c r="G176" s="12"/>
      <c r="I176" s="4"/>
      <c r="J176" s="3"/>
      <c r="K176" s="3"/>
      <c r="L176" s="3"/>
      <c r="M176" s="4"/>
      <c r="N176" s="3"/>
      <c r="O176" s="3"/>
      <c r="Q176" s="3"/>
    </row>
    <row r="177" spans="3:17" ht="12.75">
      <c r="C177" s="73"/>
      <c r="G177" s="12"/>
      <c r="I177" s="4"/>
      <c r="J177" s="3"/>
      <c r="K177" s="3"/>
      <c r="L177" s="3"/>
      <c r="M177" s="4"/>
      <c r="N177" s="3"/>
      <c r="O177" s="3"/>
      <c r="Q177" s="3"/>
    </row>
    <row r="178" spans="3:17" ht="12.75">
      <c r="C178" s="73"/>
      <c r="G178" s="12"/>
      <c r="I178" s="4"/>
      <c r="J178" s="3"/>
      <c r="K178" s="3"/>
      <c r="L178" s="3"/>
      <c r="M178" s="4"/>
      <c r="N178" s="3"/>
      <c r="O178" s="3"/>
      <c r="Q178" s="3"/>
    </row>
    <row r="179" spans="3:17" ht="12.75">
      <c r="C179" s="73"/>
      <c r="G179" s="12"/>
      <c r="I179" s="4"/>
      <c r="J179" s="3"/>
      <c r="K179" s="3"/>
      <c r="L179" s="3"/>
      <c r="M179" s="4"/>
      <c r="N179" s="3"/>
      <c r="O179" s="3"/>
      <c r="Q179" s="3"/>
    </row>
    <row r="180" spans="3:17" ht="12.75">
      <c r="C180" s="73"/>
      <c r="G180" s="12"/>
      <c r="I180" s="4"/>
      <c r="J180" s="3"/>
      <c r="K180" s="4"/>
      <c r="L180" s="3"/>
      <c r="M180" s="4"/>
      <c r="N180" s="3"/>
      <c r="O180" s="3"/>
      <c r="Q180" s="3"/>
    </row>
    <row r="181" spans="3:17" ht="12.75">
      <c r="C181" s="73"/>
      <c r="G181" s="12"/>
      <c r="I181" s="4"/>
      <c r="J181" s="3"/>
      <c r="K181" s="4"/>
      <c r="L181" s="3"/>
      <c r="M181" s="4"/>
      <c r="N181" s="3"/>
      <c r="O181" s="3"/>
      <c r="Q181" s="3"/>
    </row>
    <row r="182" spans="3:17" ht="12.75">
      <c r="C182" s="73"/>
      <c r="G182" s="12"/>
      <c r="I182" s="4"/>
      <c r="J182" s="3"/>
      <c r="K182" s="4"/>
      <c r="L182" s="3"/>
      <c r="M182" s="4"/>
      <c r="N182" s="3"/>
      <c r="O182" s="3"/>
      <c r="Q182" s="3"/>
    </row>
    <row r="183" spans="3:17" ht="12.75">
      <c r="C183" s="73"/>
      <c r="G183" s="12"/>
      <c r="I183" s="4"/>
      <c r="J183" s="3"/>
      <c r="K183" s="4"/>
      <c r="L183" s="3"/>
      <c r="M183" s="4"/>
      <c r="N183" s="3"/>
      <c r="O183" s="3"/>
      <c r="Q183" s="3"/>
    </row>
    <row r="184" spans="3:17" ht="12.75">
      <c r="C184" s="73"/>
      <c r="G184" s="12"/>
      <c r="I184" s="4"/>
      <c r="J184" s="3"/>
      <c r="K184" s="4"/>
      <c r="L184" s="3"/>
      <c r="M184" s="4"/>
      <c r="N184" s="3"/>
      <c r="O184" s="3"/>
      <c r="Q184" s="3"/>
    </row>
    <row r="185" spans="3:17" ht="12.75">
      <c r="C185" s="73"/>
      <c r="G185" s="12"/>
      <c r="I185" s="4"/>
      <c r="J185" s="3"/>
      <c r="K185" s="4"/>
      <c r="L185" s="3"/>
      <c r="M185" s="4"/>
      <c r="N185" s="3"/>
      <c r="O185" s="3"/>
      <c r="Q185" s="3"/>
    </row>
    <row r="186" spans="3:17" ht="12.75">
      <c r="C186" s="73"/>
      <c r="G186" s="12"/>
      <c r="I186" s="4"/>
      <c r="J186" s="3"/>
      <c r="K186" s="4"/>
      <c r="L186" s="3"/>
      <c r="M186" s="4"/>
      <c r="N186" s="3"/>
      <c r="O186" s="3"/>
      <c r="Q186" s="3"/>
    </row>
    <row r="187" spans="3:17" ht="12.75">
      <c r="C187" s="73"/>
      <c r="G187" s="12"/>
      <c r="I187" s="4"/>
      <c r="J187" s="3"/>
      <c r="K187" s="4"/>
      <c r="L187" s="3"/>
      <c r="M187" s="4"/>
      <c r="N187" s="3"/>
      <c r="O187" s="3"/>
      <c r="Q187" s="3"/>
    </row>
    <row r="188" spans="3:17" ht="12.75">
      <c r="C188" s="73"/>
      <c r="G188" s="12"/>
      <c r="I188" s="4"/>
      <c r="J188" s="3"/>
      <c r="K188" s="4"/>
      <c r="L188" s="3"/>
      <c r="M188" s="4"/>
      <c r="N188" s="3"/>
      <c r="O188" s="3"/>
      <c r="Q188" s="3"/>
    </row>
    <row r="189" spans="3:17" ht="12.75">
      <c r="C189" s="73"/>
      <c r="G189" s="12"/>
      <c r="I189" s="4"/>
      <c r="J189" s="3"/>
      <c r="K189" s="4"/>
      <c r="L189" s="3"/>
      <c r="M189" s="4"/>
      <c r="N189" s="3"/>
      <c r="O189" s="3"/>
      <c r="Q189" s="3"/>
    </row>
    <row r="190" spans="3:17" ht="12.75">
      <c r="C190" s="73"/>
      <c r="G190" s="12"/>
      <c r="I190" s="4"/>
      <c r="J190" s="3"/>
      <c r="K190" s="4"/>
      <c r="L190" s="3"/>
      <c r="M190" s="4"/>
      <c r="N190" s="3"/>
      <c r="O190" s="3"/>
      <c r="Q190" s="3"/>
    </row>
    <row r="191" spans="3:17" ht="12.75">
      <c r="C191" s="73"/>
      <c r="G191" s="12"/>
      <c r="I191" s="4"/>
      <c r="J191" s="3"/>
      <c r="K191" s="4"/>
      <c r="L191" s="3"/>
      <c r="M191" s="4"/>
      <c r="N191" s="3"/>
      <c r="O191" s="3"/>
      <c r="Q191" s="3"/>
    </row>
    <row r="192" spans="3:17" ht="12.75">
      <c r="C192" s="73"/>
      <c r="G192" s="12"/>
      <c r="I192" s="4"/>
      <c r="J192" s="3"/>
      <c r="K192" s="4"/>
      <c r="L192" s="3"/>
      <c r="M192" s="4"/>
      <c r="N192" s="3"/>
      <c r="O192" s="3"/>
      <c r="Q192" s="3"/>
    </row>
    <row r="193" spans="3:17" ht="12.75">
      <c r="C193" s="73"/>
      <c r="G193" s="12"/>
      <c r="I193" s="4"/>
      <c r="J193" s="3"/>
      <c r="K193" s="4"/>
      <c r="L193" s="3"/>
      <c r="M193" s="4"/>
      <c r="N193" s="3"/>
      <c r="O193" s="3"/>
      <c r="Q193" s="3"/>
    </row>
    <row r="194" spans="3:17" ht="12.75">
      <c r="C194" s="73"/>
      <c r="G194" s="12"/>
      <c r="I194" s="4"/>
      <c r="J194" s="3"/>
      <c r="K194" s="4"/>
      <c r="L194" s="3"/>
      <c r="M194" s="4"/>
      <c r="N194" s="3"/>
      <c r="O194" s="3"/>
      <c r="Q194" s="3"/>
    </row>
    <row r="195" spans="3:17" ht="12.75">
      <c r="C195" s="73"/>
      <c r="G195" s="12"/>
      <c r="I195" s="4"/>
      <c r="J195" s="3"/>
      <c r="K195" s="4"/>
      <c r="L195" s="3"/>
      <c r="M195" s="4"/>
      <c r="N195" s="3"/>
      <c r="O195" s="3"/>
      <c r="Q195" s="3"/>
    </row>
    <row r="196" spans="3:17" ht="12.75">
      <c r="C196" s="73"/>
      <c r="G196" s="12"/>
      <c r="I196" s="4"/>
      <c r="J196" s="3"/>
      <c r="K196" s="4"/>
      <c r="L196" s="3"/>
      <c r="M196" s="4"/>
      <c r="N196" s="3"/>
      <c r="O196" s="3"/>
      <c r="Q196" s="3"/>
    </row>
    <row r="197" spans="3:17" ht="12.75">
      <c r="C197" s="73"/>
      <c r="G197" s="12"/>
      <c r="I197" s="4"/>
      <c r="J197" s="3"/>
      <c r="K197" s="4"/>
      <c r="L197" s="3"/>
      <c r="M197" s="4"/>
      <c r="N197" s="3"/>
      <c r="O197" s="3"/>
      <c r="Q197" s="3"/>
    </row>
    <row r="198" spans="3:17" ht="12.75">
      <c r="C198" s="73"/>
      <c r="G198" s="12"/>
      <c r="I198" s="4"/>
      <c r="J198" s="3"/>
      <c r="K198" s="4"/>
      <c r="L198" s="3"/>
      <c r="M198" s="4"/>
      <c r="N198" s="3"/>
      <c r="O198" s="3"/>
      <c r="Q198" s="3"/>
    </row>
    <row r="199" spans="3:17" ht="12.75">
      <c r="C199" s="73"/>
      <c r="G199" s="12"/>
      <c r="I199" s="4"/>
      <c r="J199" s="3"/>
      <c r="K199" s="4"/>
      <c r="L199" s="3"/>
      <c r="M199" s="4"/>
      <c r="N199" s="3"/>
      <c r="O199" s="3"/>
      <c r="Q199" s="3"/>
    </row>
    <row r="200" spans="3:17" ht="12.75">
      <c r="C200" s="73"/>
      <c r="G200" s="12"/>
      <c r="I200" s="4"/>
      <c r="J200" s="3"/>
      <c r="K200" s="4"/>
      <c r="L200" s="3"/>
      <c r="M200" s="4"/>
      <c r="N200" s="3"/>
      <c r="O200" s="3"/>
      <c r="Q200" s="3"/>
    </row>
    <row r="201" spans="3:17" ht="12.75">
      <c r="C201" s="73"/>
      <c r="G201" s="12"/>
      <c r="I201" s="4"/>
      <c r="J201" s="3"/>
      <c r="K201" s="4"/>
      <c r="L201" s="3"/>
      <c r="M201" s="4"/>
      <c r="N201" s="3"/>
      <c r="O201" s="3"/>
      <c r="Q201" s="3"/>
    </row>
    <row r="202" spans="3:17" ht="12.75">
      <c r="C202" s="73"/>
      <c r="G202" s="12"/>
      <c r="I202" s="4"/>
      <c r="J202" s="3"/>
      <c r="K202" s="4"/>
      <c r="L202" s="3"/>
      <c r="M202" s="4"/>
      <c r="N202" s="3"/>
      <c r="O202" s="3"/>
      <c r="Q202" s="3"/>
    </row>
    <row r="203" spans="3:17" ht="12.75">
      <c r="C203" s="73"/>
      <c r="G203" s="12"/>
      <c r="I203" s="4"/>
      <c r="J203" s="3"/>
      <c r="K203" s="4"/>
      <c r="L203" s="3"/>
      <c r="M203" s="4"/>
      <c r="N203" s="3"/>
      <c r="O203" s="3"/>
      <c r="Q203" s="3"/>
    </row>
    <row r="204" spans="3:17" ht="12.75">
      <c r="C204" s="73"/>
      <c r="G204" s="12"/>
      <c r="I204" s="4"/>
      <c r="J204" s="3"/>
      <c r="K204" s="4"/>
      <c r="L204" s="3"/>
      <c r="M204" s="4"/>
      <c r="N204" s="3"/>
      <c r="O204" s="3"/>
      <c r="Q204" s="3"/>
    </row>
    <row r="205" spans="3:17" ht="12.75">
      <c r="C205" s="73"/>
      <c r="G205" s="12"/>
      <c r="I205" s="4"/>
      <c r="J205" s="3"/>
      <c r="K205" s="4"/>
      <c r="L205" s="3"/>
      <c r="M205" s="4"/>
      <c r="N205" s="3"/>
      <c r="O205" s="3"/>
      <c r="Q205" s="3"/>
    </row>
    <row r="206" spans="3:17" ht="12.75">
      <c r="C206" s="73"/>
      <c r="G206" s="12"/>
      <c r="I206" s="4"/>
      <c r="J206" s="3"/>
      <c r="K206" s="4"/>
      <c r="L206" s="3"/>
      <c r="M206" s="4"/>
      <c r="N206" s="3"/>
      <c r="O206" s="3"/>
      <c r="Q206" s="3"/>
    </row>
    <row r="207" spans="3:17" ht="12.75">
      <c r="C207" s="73"/>
      <c r="G207" s="12"/>
      <c r="I207" s="4"/>
      <c r="J207" s="3"/>
      <c r="K207" s="4"/>
      <c r="L207" s="3"/>
      <c r="M207" s="4"/>
      <c r="N207" s="3"/>
      <c r="O207" s="3"/>
      <c r="Q207" s="3"/>
    </row>
    <row r="208" spans="3:17" ht="12.75">
      <c r="C208" s="73"/>
      <c r="G208" s="12"/>
      <c r="I208" s="4"/>
      <c r="J208" s="3"/>
      <c r="K208" s="4"/>
      <c r="L208" s="3"/>
      <c r="M208" s="4"/>
      <c r="N208" s="3"/>
      <c r="O208" s="3"/>
      <c r="Q208" s="3"/>
    </row>
    <row r="209" spans="3:17" ht="12.75">
      <c r="C209" s="73"/>
      <c r="G209" s="12"/>
      <c r="I209" s="4"/>
      <c r="J209" s="3"/>
      <c r="K209" s="4"/>
      <c r="L209" s="3"/>
      <c r="M209" s="4"/>
      <c r="N209" s="3"/>
      <c r="O209" s="3"/>
      <c r="Q209" s="3"/>
    </row>
    <row r="210" spans="3:17" ht="12.75">
      <c r="C210" s="73"/>
      <c r="G210" s="12"/>
      <c r="I210" s="4"/>
      <c r="J210" s="3"/>
      <c r="K210" s="4"/>
      <c r="L210" s="3"/>
      <c r="M210" s="4"/>
      <c r="N210" s="3"/>
      <c r="O210" s="3"/>
      <c r="Q210" s="3"/>
    </row>
    <row r="211" spans="3:17" ht="12.75">
      <c r="C211" s="73"/>
      <c r="G211" s="12"/>
      <c r="I211" s="4"/>
      <c r="J211" s="3"/>
      <c r="K211" s="4"/>
      <c r="L211" s="3"/>
      <c r="M211" s="4"/>
      <c r="N211" s="3"/>
      <c r="O211" s="3"/>
      <c r="Q211" s="3"/>
    </row>
    <row r="212" spans="3:17" ht="12.75">
      <c r="C212" s="73"/>
      <c r="G212" s="12"/>
      <c r="I212" s="4"/>
      <c r="J212" s="3"/>
      <c r="K212" s="4"/>
      <c r="L212" s="3"/>
      <c r="M212" s="4"/>
      <c r="N212" s="3"/>
      <c r="O212" s="3"/>
      <c r="Q212" s="3"/>
    </row>
    <row r="213" spans="3:17" ht="12.75">
      <c r="C213" s="73"/>
      <c r="G213" s="12"/>
      <c r="I213" s="4"/>
      <c r="J213" s="3"/>
      <c r="K213" s="4"/>
      <c r="L213" s="3"/>
      <c r="M213" s="4"/>
      <c r="N213" s="3"/>
      <c r="O213" s="3"/>
      <c r="Q213" s="3"/>
    </row>
    <row r="214" spans="3:17" ht="12.75">
      <c r="C214" s="73"/>
      <c r="G214" s="12"/>
      <c r="I214" s="4"/>
      <c r="J214" s="3"/>
      <c r="K214" s="4"/>
      <c r="L214" s="3"/>
      <c r="M214" s="4"/>
      <c r="N214" s="3"/>
      <c r="O214" s="3"/>
      <c r="Q214" s="3"/>
    </row>
    <row r="215" spans="3:17" ht="12.75">
      <c r="C215" s="73"/>
      <c r="G215" s="12"/>
      <c r="I215" s="4"/>
      <c r="J215" s="3"/>
      <c r="K215" s="4"/>
      <c r="L215" s="3"/>
      <c r="M215" s="4"/>
      <c r="N215" s="3"/>
      <c r="O215" s="3"/>
      <c r="Q215" s="3"/>
    </row>
    <row r="216" spans="3:17" ht="12.75">
      <c r="C216" s="73"/>
      <c r="G216" s="12"/>
      <c r="I216" s="4"/>
      <c r="J216" s="3"/>
      <c r="K216" s="4"/>
      <c r="L216" s="3"/>
      <c r="M216" s="4"/>
      <c r="N216" s="3"/>
      <c r="O216" s="3"/>
      <c r="Q216" s="3"/>
    </row>
    <row r="217" spans="3:17" ht="12.75">
      <c r="C217" s="73"/>
      <c r="G217" s="12"/>
      <c r="I217" s="4"/>
      <c r="J217" s="3"/>
      <c r="K217" s="4"/>
      <c r="L217" s="3"/>
      <c r="M217" s="4"/>
      <c r="N217" s="3"/>
      <c r="O217" s="3"/>
      <c r="Q217" s="3"/>
    </row>
    <row r="218" ht="13.5" customHeight="1">
      <c r="K218" s="4"/>
    </row>
    <row r="219" ht="13.5" customHeight="1">
      <c r="K219" s="4"/>
    </row>
    <row r="220" ht="13.5" customHeight="1">
      <c r="K220" s="4"/>
    </row>
    <row r="221" ht="13.5" customHeight="1">
      <c r="K221" s="4"/>
    </row>
    <row r="222" ht="13.5" customHeight="1">
      <c r="K222" s="4"/>
    </row>
    <row r="223" ht="13.5" customHeight="1">
      <c r="K223" s="4"/>
    </row>
    <row r="224" ht="13.5" customHeight="1">
      <c r="K224" s="4"/>
    </row>
  </sheetData>
  <mergeCells count="6">
    <mergeCell ref="B1:H1"/>
    <mergeCell ref="B2:H2"/>
    <mergeCell ref="G21:H21"/>
    <mergeCell ref="C83:D83"/>
    <mergeCell ref="D174:J174"/>
    <mergeCell ref="G11:H11"/>
  </mergeCells>
  <printOptions/>
  <pageMargins left="0.3937007874015748" right="0.2362204724409449" top="0.76" bottom="0.57" header="0.31496062992125984" footer="0.31496062992125984"/>
  <pageSetup horizontalDpi="600" verticalDpi="600" orientation="portrait" paperSize="9" scale="95" r:id="rId1"/>
  <headerFooter>
    <oddFooter>&amp;CStránka &amp;P z &amp;N</oddFooter>
  </headerFooter>
  <rowBreaks count="2" manualBreakCount="2">
    <brk id="44" max="16383" man="1"/>
    <brk id="1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User</cp:lastModifiedBy>
  <cp:lastPrinted>2017-12-18T08:02:07Z</cp:lastPrinted>
  <dcterms:created xsi:type="dcterms:W3CDTF">2015-12-13T23:58:35Z</dcterms:created>
  <dcterms:modified xsi:type="dcterms:W3CDTF">2018-02-13T09:30:17Z</dcterms:modified>
  <cp:category/>
  <cp:version/>
  <cp:contentType/>
  <cp:contentStatus/>
</cp:coreProperties>
</file>