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00" yWindow="570" windowWidth="18600" windowHeight="12105" tabRatio="820" activeTab="0"/>
  </bookViews>
  <sheets>
    <sheet name="DPS CELK." sheetId="13" r:id="rId1"/>
  </sheets>
  <definedNames>
    <definedName name="_xlnm.Print_Area" localSheetId="0">'DPS CELK.'!$B$1:$H$193</definedName>
  </definedNames>
  <calcPr calcId="145621"/>
</workbook>
</file>

<file path=xl/sharedStrings.xml><?xml version="1.0" encoding="utf-8"?>
<sst xmlns="http://schemas.openxmlformats.org/spreadsheetml/2006/main" count="469" uniqueCount="232">
  <si>
    <t>m2</t>
  </si>
  <si>
    <t>ks</t>
  </si>
  <si>
    <t>m</t>
  </si>
  <si>
    <t>poř.č.</t>
  </si>
  <si>
    <t>MJ</t>
  </si>
  <si>
    <t>množství</t>
  </si>
  <si>
    <t>jedn. Cena</t>
  </si>
  <si>
    <t>celkem bez DPH</t>
  </si>
  <si>
    <t>t</t>
  </si>
  <si>
    <t>Specifikace</t>
  </si>
  <si>
    <t>kg</t>
  </si>
  <si>
    <t>l</t>
  </si>
  <si>
    <t>Vypracovala: Ing. Kateřina Černohorská</t>
  </si>
  <si>
    <t>Celkem za dílo bez DPH</t>
  </si>
  <si>
    <t>m3</t>
  </si>
  <si>
    <t>Výsadba stromů a keřů</t>
  </si>
  <si>
    <t>183 10 1221</t>
  </si>
  <si>
    <t xml:space="preserve">184 21 5133 </t>
  </si>
  <si>
    <t>Kotvení dřevin  třemi a více kůly dl. přes 2,0 do 3,0 m</t>
  </si>
  <si>
    <t>184 21 5413</t>
  </si>
  <si>
    <t>184 50 1141</t>
  </si>
  <si>
    <t>184 91 1421</t>
  </si>
  <si>
    <t xml:space="preserve">185 80 2114 </t>
  </si>
  <si>
    <t>185 85 1121</t>
  </si>
  <si>
    <t>185 85 1129</t>
  </si>
  <si>
    <t>Dovoz vody pro zálivku - příplatek za dalších 4000 m</t>
  </si>
  <si>
    <t>998 23 1311</t>
  </si>
  <si>
    <t>Přesun hmot pro sadovnické  a krajinářské úpravy do 5000 m</t>
  </si>
  <si>
    <t>Rákosová rohož 1,8m</t>
  </si>
  <si>
    <t>Mulčovací kůra drcená, vrstva 0,1m</t>
  </si>
  <si>
    <t>Herbicid (10l/ha)</t>
  </si>
  <si>
    <t>Rostlinný materiál</t>
  </si>
  <si>
    <t>velikost</t>
  </si>
  <si>
    <t>Celkem za výsadbu stromů a keřů včetně materiálu bez DPH</t>
  </si>
  <si>
    <t xml:space="preserve">STROMY </t>
  </si>
  <si>
    <t xml:space="preserve">KEŘE </t>
  </si>
  <si>
    <t>Celkem za dílo s DPH</t>
  </si>
  <si>
    <t>DPH 21%</t>
  </si>
  <si>
    <t>Acer platanoides</t>
  </si>
  <si>
    <t>Prunus avium</t>
  </si>
  <si>
    <t>Prunus avium 'Plena'</t>
  </si>
  <si>
    <t>16-18, ZB</t>
  </si>
  <si>
    <t>14-16, ZB</t>
  </si>
  <si>
    <t>Příčky 3ks/strom</t>
  </si>
  <si>
    <t>111 21 2351</t>
  </si>
  <si>
    <t>162 30 1501</t>
  </si>
  <si>
    <t xml:space="preserve">Vodorovné přemístění křovin do prům 100mm do 5000m </t>
  </si>
  <si>
    <t>R</t>
  </si>
  <si>
    <t>Následná péče po dobu 1. roku</t>
  </si>
  <si>
    <t>Stromy</t>
  </si>
  <si>
    <t>185 80 4213</t>
  </si>
  <si>
    <t>185 80 4312</t>
  </si>
  <si>
    <t>Zalití rostlin přes 20 m2 (10x 100 l / strom)</t>
  </si>
  <si>
    <t>Dovoz vody pro zálivku na vzdálenost do 1000 m</t>
  </si>
  <si>
    <t>Keře</t>
  </si>
  <si>
    <t>Zalití rostlin přes 20 m2 (10x 20 l / m2 )</t>
  </si>
  <si>
    <t>Následná péče po dobu 2. roku</t>
  </si>
  <si>
    <t>184 85 2312</t>
  </si>
  <si>
    <t>Výchovný řez stromů alejové stromy výška 4-6 m</t>
  </si>
  <si>
    <t>184 91 1111</t>
  </si>
  <si>
    <t>Kůl 2,5m prům. 70 mm</t>
  </si>
  <si>
    <t>Hnojení umělým hnojivem s rozdělením k jednotlivým rostlinám - 100g/strom</t>
  </si>
  <si>
    <t>Umělé hnojivo</t>
  </si>
  <si>
    <t>Hnojení umělým hnojivem s rozdělením k jednotlivým rostlinám - 20g/m2</t>
  </si>
  <si>
    <t>Celkem za následnou péči po dobu 1. roku bez DPH</t>
  </si>
  <si>
    <t>Celkem za následnou péči po dobu 2. roku bez DPH</t>
  </si>
  <si>
    <t>162 30 1402</t>
  </si>
  <si>
    <t xml:space="preserve">Odstranění nevhodných dřevin </t>
  </si>
  <si>
    <t>112 20 1117</t>
  </si>
  <si>
    <t>162 30 1424</t>
  </si>
  <si>
    <t>184 91 1423</t>
  </si>
  <si>
    <t>Celkem za odstranění nevhodných dřevin bez DPH</t>
  </si>
  <si>
    <t>112 15 1312</t>
  </si>
  <si>
    <t>Rekapitulace</t>
  </si>
  <si>
    <t>NÁHRADNÍ VÝSADBY DŘEVIN - PODZIM 2017</t>
  </si>
  <si>
    <t>Datum: červen 2017</t>
  </si>
  <si>
    <t>Liriodendron tulipifera 'Fastigiatum'</t>
  </si>
  <si>
    <t>Prunus 'Acolade'</t>
  </si>
  <si>
    <t>Prunus 'Burlat'</t>
  </si>
  <si>
    <t>Quercus robur 'Fastigiata Koster'</t>
  </si>
  <si>
    <t>Tilia euchlora</t>
  </si>
  <si>
    <t>Tilia tomentosa</t>
  </si>
  <si>
    <t>Rhododendron (T) 'Cunningham's White'</t>
  </si>
  <si>
    <t>Rhododendron (T) 'Ehrengold'</t>
  </si>
  <si>
    <t>Taxus baccata 'Fastigiata Robusta'</t>
  </si>
  <si>
    <t>80-100, ZB</t>
  </si>
  <si>
    <t>200-250, ZB</t>
  </si>
  <si>
    <t>CIBULOVINY</t>
  </si>
  <si>
    <t>Crocus chrysanthus Mix</t>
  </si>
  <si>
    <t>5/7</t>
  </si>
  <si>
    <t xml:space="preserve">Jamky s 50% výměnou půdy v hornině 1 až 4 objemu do 0,125m3  v rovině </t>
  </si>
  <si>
    <t>Jamky s 50% výměnou půdy v hornině 1 až 4 objemu do 1m3 v rovině</t>
  </si>
  <si>
    <t>183 10 1214</t>
  </si>
  <si>
    <t>183 10 5221</t>
  </si>
  <si>
    <t>Jamky s 50% výměnou půdy v hornině 1 až 4 objemu do 1m3, svah do 1:1</t>
  </si>
  <si>
    <t xml:space="preserve">Jamky bez výměny půdy v hornině 1 až 4 objemu do 0,002m3  v rovině </t>
  </si>
  <si>
    <t>183 11 1111</t>
  </si>
  <si>
    <t>Výsadba dřeviny s balem v rovině  při průměru zem.balu 300-400 mm, se zalitím</t>
  </si>
  <si>
    <t>184 10 2113</t>
  </si>
  <si>
    <t>Výsadba dřeviny s balem v rovině  při průměru zem.balu 500-600 mm, se zalitím</t>
  </si>
  <si>
    <t>184 10 2115</t>
  </si>
  <si>
    <t>Výsadba dřeviny s balem na svahu do 1:1 při průměru zem.balu 500-600 mm, se zalitím</t>
  </si>
  <si>
    <t>184 10 2135</t>
  </si>
  <si>
    <t>183 21 1313</t>
  </si>
  <si>
    <t>Výsadba cibulí do připravené půdy se zalitím (hnízda po cca 6cibulích)</t>
  </si>
  <si>
    <t xml:space="preserve">184 21 5113 </t>
  </si>
  <si>
    <t>Kotvení dřevin  jedním kůlem dl. přes 2,0 do 3,0 m (LIR)</t>
  </si>
  <si>
    <t>Kůl 2,5m prům. 70 mm (34*3+1)</t>
  </si>
  <si>
    <t>184 21 5433</t>
  </si>
  <si>
    <t xml:space="preserve">Zhotovení závlahové mísy u solitér.dřevin v rov, o prům. přes 1m </t>
  </si>
  <si>
    <t xml:space="preserve">Zhotovení závlahové mísy u solitér.dřevin , svah do 1:1,  o prům. přes 1m </t>
  </si>
  <si>
    <t>Zhotovení obalu kmene z rákosové rohože v jedné vrstvě v rovině (29*0,6)</t>
  </si>
  <si>
    <t>184 50 1143</t>
  </si>
  <si>
    <t>Zhotovení obalu kmene z rákosové rohože v jedné vrstvě, svah do 1:1 (3*0,6)</t>
  </si>
  <si>
    <t>Mulčování rostlin tl.do 100 mm na svahu do 1:1 - kůra  (solitér.stromy) (3*3,14*0,75*0,75)</t>
  </si>
  <si>
    <t>Mulčování rostlin tl.do 100 mm v rovině  - kůra (solitér.stromy, keře M1) (38*3,14*0,75*0,75)+15</t>
  </si>
  <si>
    <t>Hnojení umělým hnojivem s rozdělením k jednotlivým rostlinám rovina (10 tbl./strom, 2tbl./keř) (35*10)*10*0,001*0,001+(9*2)*10*0,001*0,001</t>
  </si>
  <si>
    <t>Instalace pletiva proti okusu zvěří  (LOK2)</t>
  </si>
  <si>
    <t>Králičí pletivo poplastované 25mm, výška 1000mm</t>
  </si>
  <si>
    <t>Instalace chráničky kmene proti poškození strun.sekačkou  (pro stromy na lokalitách 2,4,5,6,7)</t>
  </si>
  <si>
    <t>Chránička kmene proti poškození strunovou sekačkou (pro stromy na lokalitách 2,4,5,6,7)</t>
  </si>
  <si>
    <t>Vázací tkaný popruh š. 35mm (34*3+1)</t>
  </si>
  <si>
    <t>184 80 2111</t>
  </si>
  <si>
    <t>Substrát pro výměnu v jamkách  pro Rhododendrony (3*0,125*0,5)</t>
  </si>
  <si>
    <t>Substrát pro výměnu v jamkách  (35*1*0,5) + (6*0,125*0,5)</t>
  </si>
  <si>
    <t>Hnojivo tabletované 0,01kg (35*10+9*2)</t>
  </si>
  <si>
    <t>Dovoz vody pro zálivku na vzdálenost do 1000 m (100 l/strom, 20l/keř) (35*0,1+9*0,02)</t>
  </si>
  <si>
    <t>Odstranění nevhod. dřevin prům. do 100mm, výšky přes 1m s odstr. pařezu v rovině (keře 24m2)</t>
  </si>
  <si>
    <t>112 15 1356</t>
  </si>
  <si>
    <t>Pokácení stromu postupné se spouštěním o prům 600-700mm (S101)</t>
  </si>
  <si>
    <t>Pokácení stromu postupné bez spouštění o prům do 900mm (S501)</t>
  </si>
  <si>
    <t>112 15 1318</t>
  </si>
  <si>
    <t>Pokácení stromu postupné bez spouštění o prům do 800mm (S414)</t>
  </si>
  <si>
    <t>112 15 1317</t>
  </si>
  <si>
    <t>112 15 1315</t>
  </si>
  <si>
    <t>112 15 1314</t>
  </si>
  <si>
    <t>Pokácení stromu postupné bez spouštění o prům do 500mm (S405, S412)</t>
  </si>
  <si>
    <t>112 15 1313</t>
  </si>
  <si>
    <t>Pokácení stromu postupné bez spouštění o prům do 400mm (S407)</t>
  </si>
  <si>
    <t>112 15 1311</t>
  </si>
  <si>
    <t>Pokácení stromu postupné bez spouštění o prům do 200mm (S502, S505)</t>
  </si>
  <si>
    <t>Pokácení stromu postupné bez spouštění o prům do 300mm (S406, S418, S505)</t>
  </si>
  <si>
    <t>112 15 1111</t>
  </si>
  <si>
    <t>Pokácení stromu směrové o prům do 200mm (S103, S105, S106)</t>
  </si>
  <si>
    <t>Odstranění nevhod. dřevin prům. do 100mm, výšky přes 1m s odstr. pařezu v rovině (stromy S104, S107, S201, S403, S409, S413, S419, S420, S503, S504, S601, S602)</t>
  </si>
  <si>
    <t>184 85 2211</t>
  </si>
  <si>
    <t>184 85 2214</t>
  </si>
  <si>
    <t>Celkem za řezy stromů bez DPH</t>
  </si>
  <si>
    <t>Řezy stromů</t>
  </si>
  <si>
    <t>Odstranění nevhod. dřevin prům. do 100mm, výšky přes 1m bez odstr. pařezu v rovině (obrůstající pařezy 24m2)</t>
  </si>
  <si>
    <t>111 21 2311</t>
  </si>
  <si>
    <t>112 20 1111</t>
  </si>
  <si>
    <t xml:space="preserve">Odstranění pařezu v rovině - o prům. do 200mm </t>
  </si>
  <si>
    <t>112 20 1112</t>
  </si>
  <si>
    <t xml:space="preserve">Odstranění pařezu v rovině - o prům. do 300mm </t>
  </si>
  <si>
    <t xml:space="preserve">Odstranění pařezu v rovině - o prům. do 400mm </t>
  </si>
  <si>
    <t>112 20 1113</t>
  </si>
  <si>
    <t>112 20 1114</t>
  </si>
  <si>
    <t xml:space="preserve">Odstranění pařezu v rovině - o prům. do 500mm </t>
  </si>
  <si>
    <t>112 20 1115</t>
  </si>
  <si>
    <t xml:space="preserve">Odstranění pařezu v rovině - o prům. do 600mm </t>
  </si>
  <si>
    <t>112 20 1116</t>
  </si>
  <si>
    <t xml:space="preserve">Odstranění pařezu v rovině - o prům. do 700mm </t>
  </si>
  <si>
    <t xml:space="preserve">Odstranění pařezu v rovině - o prům. do 800mm </t>
  </si>
  <si>
    <t>112 20 1118</t>
  </si>
  <si>
    <t xml:space="preserve">Odstranění pařezu v rovině - o prům. do 900mm </t>
  </si>
  <si>
    <t>162 30 1421</t>
  </si>
  <si>
    <t>Vodorovné přemístění do 5000m pařezů, prům km. do 300mm</t>
  </si>
  <si>
    <t>162 30 1422</t>
  </si>
  <si>
    <t>Vodorovné přemístění do 5000m pařezů, prům km. do 500mm</t>
  </si>
  <si>
    <t>Vodorovné přemístění do 5000m pařezů, prům km. do 700mm</t>
  </si>
  <si>
    <t>162 30 1423</t>
  </si>
  <si>
    <t>Vodorovné přemístění do 5000m pařezů, prům km. do 900mm</t>
  </si>
  <si>
    <t xml:space="preserve">Odstranění pařezu v rovině - o prům. do 1500mm </t>
  </si>
  <si>
    <t>162 30 1401</t>
  </si>
  <si>
    <t xml:space="preserve">Vodorovné přemístění do 5000m větví, prům km. do 300mm </t>
  </si>
  <si>
    <t xml:space="preserve">Vodorovné přemístění do 5000m větví, prům km. do 500mm </t>
  </si>
  <si>
    <t>162 30 1403</t>
  </si>
  <si>
    <t xml:space="preserve">Vodorovné přemístění do 5000m větví, prům km. do 700mm </t>
  </si>
  <si>
    <t xml:space="preserve">Vodorovné přemístění do 5000m větví, prům km. do 900mm </t>
  </si>
  <si>
    <t>162 30 1404</t>
  </si>
  <si>
    <t>Vodorovné přemístění do 5000m kmenů listnatých - bude poskytnuto jako palivové dřevo</t>
  </si>
  <si>
    <t>Substrát pro zásyp jam po vyfrézovaných pařezech bude poskytnut investorem dle reálných potřeb</t>
  </si>
  <si>
    <t>Uložení odpadu na skládku a skládkovné</t>
  </si>
  <si>
    <t>Dosetí trávníku po odstraněných pařezch (2m2/pařez) vč. Osiva</t>
  </si>
  <si>
    <t>Odpočet za palivové dřevo (viz. Samostatná tabulka) - 10,14m3</t>
  </si>
  <si>
    <t>Trávník parkový</t>
  </si>
  <si>
    <t>182 00 1111</t>
  </si>
  <si>
    <t>183 40 3114</t>
  </si>
  <si>
    <t xml:space="preserve">183 40 3153 </t>
  </si>
  <si>
    <t xml:space="preserve">183 40 3161 </t>
  </si>
  <si>
    <t xml:space="preserve">185 80 2113 </t>
  </si>
  <si>
    <t>181 41 1131</t>
  </si>
  <si>
    <t>Překrytí vysetého trávníku netkanou textilii</t>
  </si>
  <si>
    <t>Osivo (30g/m2)</t>
  </si>
  <si>
    <t>Hnojivo (30g/m2)</t>
  </si>
  <si>
    <t>Celkem za založení trávníku včetně materiálu bez DPH</t>
  </si>
  <si>
    <t>Chemické odplevelení půdy před založením postřikem, v rovině (T1)</t>
  </si>
  <si>
    <t>Plošná úprava  ter. nerovnosti do +-100 mm, v rovině</t>
  </si>
  <si>
    <t>Obdělání půdy kultivátorem, v rovině - 2x</t>
  </si>
  <si>
    <t>Obdělání půdy hrabáním, v rovině - 2x</t>
  </si>
  <si>
    <t>Obdělání půdy válením, v rovině - 2x</t>
  </si>
  <si>
    <t>Hnojení umělým hnojivem, v rovině, plošně (30g/m2)</t>
  </si>
  <si>
    <t>Založení parkového trávníku výsevem, v rovině</t>
  </si>
  <si>
    <t>Následná péče po dobu 3. roku</t>
  </si>
  <si>
    <t>Celkem za následnou péči po dobu 3. roku bez DPH</t>
  </si>
  <si>
    <t>Odstranění ukotvení dřeviny jedním kůlem, délky do 3m</t>
  </si>
  <si>
    <t>184 21 5151</t>
  </si>
  <si>
    <t>Odstranění ukotvení dřeviny třemi kůly, délky do 3m</t>
  </si>
  <si>
    <t>184 21 5173</t>
  </si>
  <si>
    <t>Odstranění obalu kmene z rákosové rohože</t>
  </si>
  <si>
    <t>184 50 1181</t>
  </si>
  <si>
    <t>185 80 4214</t>
  </si>
  <si>
    <t>Vypletí dřevin solitérních v rovině (3x) (3*35*3,15*0,75*0,75)</t>
  </si>
  <si>
    <t>Vypletí dřevin ve skupinách v rovině (3x) (3*15+3*6*3,15*0,75*0,75)</t>
  </si>
  <si>
    <t>Kontrola kotvení a znovuuvázání při 30% (35*3*0,3)</t>
  </si>
  <si>
    <t xml:space="preserve">Oprava a doplnění kůlů při 30% </t>
  </si>
  <si>
    <t xml:space="preserve">Zřízení závlahové a provzdušňovací sondy z hadice Flexibil vč. Dodávky (1x3m/strom, výplň štěrk fr. 16-32mm) </t>
  </si>
  <si>
    <t>Odstranění nadzemní části zavlažovací hadice</t>
  </si>
  <si>
    <t>Řez stromů prováděný lezeckou technikou - zdravotní, plocha koruny do 30m2 (S408) - zajistí investor</t>
  </si>
  <si>
    <t>Řez stromů prováděný lezeckou technikou - zdravotní, plocha koruny do 120m2 (S410) - zajistí investor</t>
  </si>
  <si>
    <t>Řez stromů - výchovný, alejové stromy do 6m (S417) - zajistí investor</t>
  </si>
  <si>
    <t>Pokácení stromu postupné se spouštěním o prům 500-600mm (S102)</t>
  </si>
  <si>
    <t>112 15 1355</t>
  </si>
  <si>
    <t>Pokácení stromu postupné bez spouštění o prům do 600mm (S404, S416)</t>
  </si>
  <si>
    <t>Chemické odplevelení půdy před založením postřikem, v rovině (M1)</t>
  </si>
  <si>
    <t>Mulčovací kůra drcená  (doplnění 5cm)</t>
  </si>
  <si>
    <t>Mulčování rostlin tl.do 100 mm v rovině  - kůra (77/3)</t>
  </si>
  <si>
    <t>Mulčovací kůra drcená (doplnění 5cm)</t>
  </si>
  <si>
    <t>SOUPIS PRACÍ</t>
  </si>
  <si>
    <t>Mulčování rostlin tl.do 100 mm v rovině nebo ve svahu do 1:5 - kůra (35*3,14*0,75*0,75)</t>
  </si>
  <si>
    <t>Žlutě zvýrazněné pasáže vyplňte!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</si>
</sst>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0.0000"/>
    <numFmt numFmtId="166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0"/>
      <color rgb="FF00B0F0"/>
      <name val="Arial"/>
      <family val="2"/>
    </font>
    <font>
      <sz val="10"/>
      <color theme="4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4" fontId="1" fillId="0" borderId="5" xfId="20" applyFont="1" applyFill="1" applyBorder="1" applyAlignment="1">
      <alignment horizontal="right"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44" fontId="1" fillId="0" borderId="0" xfId="2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/>
    <xf numFmtId="44" fontId="2" fillId="0" borderId="0" xfId="2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44" fontId="1" fillId="0" borderId="6" xfId="2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 horizontal="right" vertical="center" wrapText="1"/>
    </xf>
    <xf numFmtId="44" fontId="1" fillId="0" borderId="0" xfId="0" applyNumberFormat="1" applyFont="1" applyFill="1" applyBorder="1" applyAlignment="1">
      <alignment horizontal="right" vertical="center"/>
    </xf>
    <xf numFmtId="44" fontId="2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/>
    </xf>
    <xf numFmtId="44" fontId="1" fillId="0" borderId="0" xfId="2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2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4" fontId="2" fillId="0" borderId="6" xfId="2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/>
    </xf>
    <xf numFmtId="44" fontId="1" fillId="0" borderId="0" xfId="2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left"/>
    </xf>
    <xf numFmtId="7" fontId="1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/>
    </xf>
    <xf numFmtId="44" fontId="1" fillId="0" borderId="9" xfId="20" applyFont="1" applyFill="1" applyBorder="1" applyAlignment="1">
      <alignment horizontal="right" vertical="center"/>
    </xf>
    <xf numFmtId="44" fontId="1" fillId="0" borderId="0" xfId="20" applyFont="1" applyFill="1" applyBorder="1"/>
    <xf numFmtId="3" fontId="1" fillId="0" borderId="4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7" fontId="1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7" fontId="1" fillId="0" borderId="8" xfId="0" applyNumberFormat="1" applyFont="1" applyFill="1" applyBorder="1" applyAlignment="1">
      <alignment horizontal="center" vertical="center"/>
    </xf>
    <xf numFmtId="44" fontId="1" fillId="0" borderId="0" xfId="2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 vertical="center"/>
    </xf>
    <xf numFmtId="44" fontId="2" fillId="0" borderId="0" xfId="2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44" fontId="1" fillId="0" borderId="0" xfId="20" applyFont="1" applyFill="1" applyBorder="1" applyAlignment="1">
      <alignment horizontal="right"/>
    </xf>
    <xf numFmtId="0" fontId="1" fillId="0" borderId="4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44" fontId="1" fillId="0" borderId="5" xfId="20" applyFont="1" applyFill="1" applyBorder="1"/>
    <xf numFmtId="0" fontId="8" fillId="0" borderId="0" xfId="0" applyNumberFormat="1" applyFont="1" applyFill="1" applyBorder="1" applyAlignment="1">
      <alignment horizontal="left"/>
    </xf>
    <xf numFmtId="44" fontId="7" fillId="0" borderId="0" xfId="0" applyNumberFormat="1" applyFont="1" applyFill="1" applyBorder="1" applyAlignment="1">
      <alignment horizontal="left"/>
    </xf>
    <xf numFmtId="44" fontId="1" fillId="0" borderId="0" xfId="2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top" wrapText="1"/>
    </xf>
    <xf numFmtId="44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horizontal="left" wrapText="1"/>
    </xf>
    <xf numFmtId="166" fontId="1" fillId="0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  <protection hidden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44" fontId="2" fillId="0" borderId="10" xfId="20" applyFont="1" applyFill="1" applyBorder="1" applyAlignment="1">
      <alignment horizontal="right" vertical="center"/>
    </xf>
    <xf numFmtId="44" fontId="2" fillId="0" borderId="10" xfId="20" applyFont="1" applyFill="1" applyBorder="1" applyAlignment="1">
      <alignment horizontal="right"/>
    </xf>
    <xf numFmtId="44" fontId="2" fillId="0" borderId="1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5"/>
  <sheetViews>
    <sheetView tabSelected="1" zoomScale="120" zoomScaleNormal="120" workbookViewId="0" topLeftCell="A1">
      <selection activeCell="G26" sqref="G26"/>
    </sheetView>
  </sheetViews>
  <sheetFormatPr defaultColWidth="9.140625" defaultRowHeight="13.5" customHeight="1"/>
  <cols>
    <col min="1" max="1" width="2.00390625" style="3" customWidth="1"/>
    <col min="2" max="2" width="4.8515625" style="1" customWidth="1"/>
    <col min="3" max="3" width="11.28125" style="4" customWidth="1"/>
    <col min="4" max="4" width="50.7109375" style="12" customWidth="1"/>
    <col min="5" max="5" width="3.57421875" style="1" bestFit="1" customWidth="1"/>
    <col min="6" max="6" width="7.00390625" style="13" customWidth="1"/>
    <col min="7" max="7" width="9.00390625" style="62" customWidth="1"/>
    <col min="8" max="8" width="14.57421875" style="14" customWidth="1"/>
    <col min="9" max="9" width="26.7109375" style="120" customWidth="1"/>
    <col min="10" max="10" width="10.57421875" style="63" customWidth="1"/>
    <col min="11" max="12" width="10.57421875" style="53" customWidth="1"/>
    <col min="13" max="13" width="8.140625" style="3" customWidth="1"/>
    <col min="14" max="14" width="18.00390625" style="38" customWidth="1"/>
    <col min="15" max="15" width="9.57421875" style="42" bestFit="1" customWidth="1"/>
    <col min="16" max="16" width="14.7109375" style="3" customWidth="1"/>
    <col min="17" max="17" width="9.140625" style="39" customWidth="1"/>
    <col min="18" max="257" width="9.140625" style="3" customWidth="1"/>
    <col min="258" max="258" width="0.71875" style="3" customWidth="1"/>
    <col min="259" max="259" width="4.57421875" style="3" customWidth="1"/>
    <col min="260" max="260" width="11.28125" style="3" customWidth="1"/>
    <col min="261" max="261" width="52.7109375" style="3" customWidth="1"/>
    <col min="262" max="262" width="3.57421875" style="3" bestFit="1" customWidth="1"/>
    <col min="263" max="263" width="8.00390625" style="3" customWidth="1"/>
    <col min="264" max="264" width="9.7109375" style="3" customWidth="1"/>
    <col min="265" max="265" width="15.00390625" style="3" customWidth="1"/>
    <col min="266" max="266" width="15.57421875" style="3" customWidth="1"/>
    <col min="267" max="267" width="21.7109375" style="3" customWidth="1"/>
    <col min="268" max="269" width="8.140625" style="3" customWidth="1"/>
    <col min="270" max="270" width="18.00390625" style="3" customWidth="1"/>
    <col min="271" max="271" width="9.140625" style="3" customWidth="1"/>
    <col min="272" max="272" width="14.7109375" style="3" customWidth="1"/>
    <col min="273" max="513" width="9.140625" style="3" customWidth="1"/>
    <col min="514" max="514" width="0.71875" style="3" customWidth="1"/>
    <col min="515" max="515" width="4.57421875" style="3" customWidth="1"/>
    <col min="516" max="516" width="11.28125" style="3" customWidth="1"/>
    <col min="517" max="517" width="52.7109375" style="3" customWidth="1"/>
    <col min="518" max="518" width="3.57421875" style="3" bestFit="1" customWidth="1"/>
    <col min="519" max="519" width="8.00390625" style="3" customWidth="1"/>
    <col min="520" max="520" width="9.7109375" style="3" customWidth="1"/>
    <col min="521" max="521" width="15.00390625" style="3" customWidth="1"/>
    <col min="522" max="522" width="15.57421875" style="3" customWidth="1"/>
    <col min="523" max="523" width="21.7109375" style="3" customWidth="1"/>
    <col min="524" max="525" width="8.140625" style="3" customWidth="1"/>
    <col min="526" max="526" width="18.00390625" style="3" customWidth="1"/>
    <col min="527" max="527" width="9.140625" style="3" customWidth="1"/>
    <col min="528" max="528" width="14.7109375" style="3" customWidth="1"/>
    <col min="529" max="769" width="9.140625" style="3" customWidth="1"/>
    <col min="770" max="770" width="0.71875" style="3" customWidth="1"/>
    <col min="771" max="771" width="4.57421875" style="3" customWidth="1"/>
    <col min="772" max="772" width="11.28125" style="3" customWidth="1"/>
    <col min="773" max="773" width="52.7109375" style="3" customWidth="1"/>
    <col min="774" max="774" width="3.57421875" style="3" bestFit="1" customWidth="1"/>
    <col min="775" max="775" width="8.00390625" style="3" customWidth="1"/>
    <col min="776" max="776" width="9.7109375" style="3" customWidth="1"/>
    <col min="777" max="777" width="15.00390625" style="3" customWidth="1"/>
    <col min="778" max="778" width="15.57421875" style="3" customWidth="1"/>
    <col min="779" max="779" width="21.7109375" style="3" customWidth="1"/>
    <col min="780" max="781" width="8.140625" style="3" customWidth="1"/>
    <col min="782" max="782" width="18.00390625" style="3" customWidth="1"/>
    <col min="783" max="783" width="9.140625" style="3" customWidth="1"/>
    <col min="784" max="784" width="14.7109375" style="3" customWidth="1"/>
    <col min="785" max="1025" width="9.140625" style="3" customWidth="1"/>
    <col min="1026" max="1026" width="0.71875" style="3" customWidth="1"/>
    <col min="1027" max="1027" width="4.57421875" style="3" customWidth="1"/>
    <col min="1028" max="1028" width="11.28125" style="3" customWidth="1"/>
    <col min="1029" max="1029" width="52.7109375" style="3" customWidth="1"/>
    <col min="1030" max="1030" width="3.57421875" style="3" bestFit="1" customWidth="1"/>
    <col min="1031" max="1031" width="8.00390625" style="3" customWidth="1"/>
    <col min="1032" max="1032" width="9.7109375" style="3" customWidth="1"/>
    <col min="1033" max="1033" width="15.00390625" style="3" customWidth="1"/>
    <col min="1034" max="1034" width="15.57421875" style="3" customWidth="1"/>
    <col min="1035" max="1035" width="21.7109375" style="3" customWidth="1"/>
    <col min="1036" max="1037" width="8.140625" style="3" customWidth="1"/>
    <col min="1038" max="1038" width="18.00390625" style="3" customWidth="1"/>
    <col min="1039" max="1039" width="9.140625" style="3" customWidth="1"/>
    <col min="1040" max="1040" width="14.7109375" style="3" customWidth="1"/>
    <col min="1041" max="1281" width="9.140625" style="3" customWidth="1"/>
    <col min="1282" max="1282" width="0.71875" style="3" customWidth="1"/>
    <col min="1283" max="1283" width="4.57421875" style="3" customWidth="1"/>
    <col min="1284" max="1284" width="11.28125" style="3" customWidth="1"/>
    <col min="1285" max="1285" width="52.7109375" style="3" customWidth="1"/>
    <col min="1286" max="1286" width="3.57421875" style="3" bestFit="1" customWidth="1"/>
    <col min="1287" max="1287" width="8.00390625" style="3" customWidth="1"/>
    <col min="1288" max="1288" width="9.7109375" style="3" customWidth="1"/>
    <col min="1289" max="1289" width="15.00390625" style="3" customWidth="1"/>
    <col min="1290" max="1290" width="15.57421875" style="3" customWidth="1"/>
    <col min="1291" max="1291" width="21.7109375" style="3" customWidth="1"/>
    <col min="1292" max="1293" width="8.140625" style="3" customWidth="1"/>
    <col min="1294" max="1294" width="18.00390625" style="3" customWidth="1"/>
    <col min="1295" max="1295" width="9.140625" style="3" customWidth="1"/>
    <col min="1296" max="1296" width="14.7109375" style="3" customWidth="1"/>
    <col min="1297" max="1537" width="9.140625" style="3" customWidth="1"/>
    <col min="1538" max="1538" width="0.71875" style="3" customWidth="1"/>
    <col min="1539" max="1539" width="4.57421875" style="3" customWidth="1"/>
    <col min="1540" max="1540" width="11.28125" style="3" customWidth="1"/>
    <col min="1541" max="1541" width="52.7109375" style="3" customWidth="1"/>
    <col min="1542" max="1542" width="3.57421875" style="3" bestFit="1" customWidth="1"/>
    <col min="1543" max="1543" width="8.00390625" style="3" customWidth="1"/>
    <col min="1544" max="1544" width="9.7109375" style="3" customWidth="1"/>
    <col min="1545" max="1545" width="15.00390625" style="3" customWidth="1"/>
    <col min="1546" max="1546" width="15.57421875" style="3" customWidth="1"/>
    <col min="1547" max="1547" width="21.7109375" style="3" customWidth="1"/>
    <col min="1548" max="1549" width="8.140625" style="3" customWidth="1"/>
    <col min="1550" max="1550" width="18.00390625" style="3" customWidth="1"/>
    <col min="1551" max="1551" width="9.140625" style="3" customWidth="1"/>
    <col min="1552" max="1552" width="14.7109375" style="3" customWidth="1"/>
    <col min="1553" max="1793" width="9.140625" style="3" customWidth="1"/>
    <col min="1794" max="1794" width="0.71875" style="3" customWidth="1"/>
    <col min="1795" max="1795" width="4.57421875" style="3" customWidth="1"/>
    <col min="1796" max="1796" width="11.28125" style="3" customWidth="1"/>
    <col min="1797" max="1797" width="52.7109375" style="3" customWidth="1"/>
    <col min="1798" max="1798" width="3.57421875" style="3" bestFit="1" customWidth="1"/>
    <col min="1799" max="1799" width="8.00390625" style="3" customWidth="1"/>
    <col min="1800" max="1800" width="9.7109375" style="3" customWidth="1"/>
    <col min="1801" max="1801" width="15.00390625" style="3" customWidth="1"/>
    <col min="1802" max="1802" width="15.57421875" style="3" customWidth="1"/>
    <col min="1803" max="1803" width="21.7109375" style="3" customWidth="1"/>
    <col min="1804" max="1805" width="8.140625" style="3" customWidth="1"/>
    <col min="1806" max="1806" width="18.00390625" style="3" customWidth="1"/>
    <col min="1807" max="1807" width="9.140625" style="3" customWidth="1"/>
    <col min="1808" max="1808" width="14.7109375" style="3" customWidth="1"/>
    <col min="1809" max="2049" width="9.140625" style="3" customWidth="1"/>
    <col min="2050" max="2050" width="0.71875" style="3" customWidth="1"/>
    <col min="2051" max="2051" width="4.57421875" style="3" customWidth="1"/>
    <col min="2052" max="2052" width="11.28125" style="3" customWidth="1"/>
    <col min="2053" max="2053" width="52.7109375" style="3" customWidth="1"/>
    <col min="2054" max="2054" width="3.57421875" style="3" bestFit="1" customWidth="1"/>
    <col min="2055" max="2055" width="8.00390625" style="3" customWidth="1"/>
    <col min="2056" max="2056" width="9.7109375" style="3" customWidth="1"/>
    <col min="2057" max="2057" width="15.00390625" style="3" customWidth="1"/>
    <col min="2058" max="2058" width="15.57421875" style="3" customWidth="1"/>
    <col min="2059" max="2059" width="21.7109375" style="3" customWidth="1"/>
    <col min="2060" max="2061" width="8.140625" style="3" customWidth="1"/>
    <col min="2062" max="2062" width="18.00390625" style="3" customWidth="1"/>
    <col min="2063" max="2063" width="9.140625" style="3" customWidth="1"/>
    <col min="2064" max="2064" width="14.7109375" style="3" customWidth="1"/>
    <col min="2065" max="2305" width="9.140625" style="3" customWidth="1"/>
    <col min="2306" max="2306" width="0.71875" style="3" customWidth="1"/>
    <col min="2307" max="2307" width="4.57421875" style="3" customWidth="1"/>
    <col min="2308" max="2308" width="11.28125" style="3" customWidth="1"/>
    <col min="2309" max="2309" width="52.7109375" style="3" customWidth="1"/>
    <col min="2310" max="2310" width="3.57421875" style="3" bestFit="1" customWidth="1"/>
    <col min="2311" max="2311" width="8.00390625" style="3" customWidth="1"/>
    <col min="2312" max="2312" width="9.7109375" style="3" customWidth="1"/>
    <col min="2313" max="2313" width="15.00390625" style="3" customWidth="1"/>
    <col min="2314" max="2314" width="15.57421875" style="3" customWidth="1"/>
    <col min="2315" max="2315" width="21.7109375" style="3" customWidth="1"/>
    <col min="2316" max="2317" width="8.140625" style="3" customWidth="1"/>
    <col min="2318" max="2318" width="18.00390625" style="3" customWidth="1"/>
    <col min="2319" max="2319" width="9.140625" style="3" customWidth="1"/>
    <col min="2320" max="2320" width="14.7109375" style="3" customWidth="1"/>
    <col min="2321" max="2561" width="9.140625" style="3" customWidth="1"/>
    <col min="2562" max="2562" width="0.71875" style="3" customWidth="1"/>
    <col min="2563" max="2563" width="4.57421875" style="3" customWidth="1"/>
    <col min="2564" max="2564" width="11.28125" style="3" customWidth="1"/>
    <col min="2565" max="2565" width="52.7109375" style="3" customWidth="1"/>
    <col min="2566" max="2566" width="3.57421875" style="3" bestFit="1" customWidth="1"/>
    <col min="2567" max="2567" width="8.00390625" style="3" customWidth="1"/>
    <col min="2568" max="2568" width="9.7109375" style="3" customWidth="1"/>
    <col min="2569" max="2569" width="15.00390625" style="3" customWidth="1"/>
    <col min="2570" max="2570" width="15.57421875" style="3" customWidth="1"/>
    <col min="2571" max="2571" width="21.7109375" style="3" customWidth="1"/>
    <col min="2572" max="2573" width="8.140625" style="3" customWidth="1"/>
    <col min="2574" max="2574" width="18.00390625" style="3" customWidth="1"/>
    <col min="2575" max="2575" width="9.140625" style="3" customWidth="1"/>
    <col min="2576" max="2576" width="14.7109375" style="3" customWidth="1"/>
    <col min="2577" max="2817" width="9.140625" style="3" customWidth="1"/>
    <col min="2818" max="2818" width="0.71875" style="3" customWidth="1"/>
    <col min="2819" max="2819" width="4.57421875" style="3" customWidth="1"/>
    <col min="2820" max="2820" width="11.28125" style="3" customWidth="1"/>
    <col min="2821" max="2821" width="52.7109375" style="3" customWidth="1"/>
    <col min="2822" max="2822" width="3.57421875" style="3" bestFit="1" customWidth="1"/>
    <col min="2823" max="2823" width="8.00390625" style="3" customWidth="1"/>
    <col min="2824" max="2824" width="9.7109375" style="3" customWidth="1"/>
    <col min="2825" max="2825" width="15.00390625" style="3" customWidth="1"/>
    <col min="2826" max="2826" width="15.57421875" style="3" customWidth="1"/>
    <col min="2827" max="2827" width="21.7109375" style="3" customWidth="1"/>
    <col min="2828" max="2829" width="8.140625" style="3" customWidth="1"/>
    <col min="2830" max="2830" width="18.00390625" style="3" customWidth="1"/>
    <col min="2831" max="2831" width="9.140625" style="3" customWidth="1"/>
    <col min="2832" max="2832" width="14.7109375" style="3" customWidth="1"/>
    <col min="2833" max="3073" width="9.140625" style="3" customWidth="1"/>
    <col min="3074" max="3074" width="0.71875" style="3" customWidth="1"/>
    <col min="3075" max="3075" width="4.57421875" style="3" customWidth="1"/>
    <col min="3076" max="3076" width="11.28125" style="3" customWidth="1"/>
    <col min="3077" max="3077" width="52.7109375" style="3" customWidth="1"/>
    <col min="3078" max="3078" width="3.57421875" style="3" bestFit="1" customWidth="1"/>
    <col min="3079" max="3079" width="8.00390625" style="3" customWidth="1"/>
    <col min="3080" max="3080" width="9.7109375" style="3" customWidth="1"/>
    <col min="3081" max="3081" width="15.00390625" style="3" customWidth="1"/>
    <col min="3082" max="3082" width="15.57421875" style="3" customWidth="1"/>
    <col min="3083" max="3083" width="21.7109375" style="3" customWidth="1"/>
    <col min="3084" max="3085" width="8.140625" style="3" customWidth="1"/>
    <col min="3086" max="3086" width="18.00390625" style="3" customWidth="1"/>
    <col min="3087" max="3087" width="9.140625" style="3" customWidth="1"/>
    <col min="3088" max="3088" width="14.7109375" style="3" customWidth="1"/>
    <col min="3089" max="3329" width="9.140625" style="3" customWidth="1"/>
    <col min="3330" max="3330" width="0.71875" style="3" customWidth="1"/>
    <col min="3331" max="3331" width="4.57421875" style="3" customWidth="1"/>
    <col min="3332" max="3332" width="11.28125" style="3" customWidth="1"/>
    <col min="3333" max="3333" width="52.7109375" style="3" customWidth="1"/>
    <col min="3334" max="3334" width="3.57421875" style="3" bestFit="1" customWidth="1"/>
    <col min="3335" max="3335" width="8.00390625" style="3" customWidth="1"/>
    <col min="3336" max="3336" width="9.7109375" style="3" customWidth="1"/>
    <col min="3337" max="3337" width="15.00390625" style="3" customWidth="1"/>
    <col min="3338" max="3338" width="15.57421875" style="3" customWidth="1"/>
    <col min="3339" max="3339" width="21.7109375" style="3" customWidth="1"/>
    <col min="3340" max="3341" width="8.140625" style="3" customWidth="1"/>
    <col min="3342" max="3342" width="18.00390625" style="3" customWidth="1"/>
    <col min="3343" max="3343" width="9.140625" style="3" customWidth="1"/>
    <col min="3344" max="3344" width="14.7109375" style="3" customWidth="1"/>
    <col min="3345" max="3585" width="9.140625" style="3" customWidth="1"/>
    <col min="3586" max="3586" width="0.71875" style="3" customWidth="1"/>
    <col min="3587" max="3587" width="4.57421875" style="3" customWidth="1"/>
    <col min="3588" max="3588" width="11.28125" style="3" customWidth="1"/>
    <col min="3589" max="3589" width="52.7109375" style="3" customWidth="1"/>
    <col min="3590" max="3590" width="3.57421875" style="3" bestFit="1" customWidth="1"/>
    <col min="3591" max="3591" width="8.00390625" style="3" customWidth="1"/>
    <col min="3592" max="3592" width="9.7109375" style="3" customWidth="1"/>
    <col min="3593" max="3593" width="15.00390625" style="3" customWidth="1"/>
    <col min="3594" max="3594" width="15.57421875" style="3" customWidth="1"/>
    <col min="3595" max="3595" width="21.7109375" style="3" customWidth="1"/>
    <col min="3596" max="3597" width="8.140625" style="3" customWidth="1"/>
    <col min="3598" max="3598" width="18.00390625" style="3" customWidth="1"/>
    <col min="3599" max="3599" width="9.140625" style="3" customWidth="1"/>
    <col min="3600" max="3600" width="14.7109375" style="3" customWidth="1"/>
    <col min="3601" max="3841" width="9.140625" style="3" customWidth="1"/>
    <col min="3842" max="3842" width="0.71875" style="3" customWidth="1"/>
    <col min="3843" max="3843" width="4.57421875" style="3" customWidth="1"/>
    <col min="3844" max="3844" width="11.28125" style="3" customWidth="1"/>
    <col min="3845" max="3845" width="52.7109375" style="3" customWidth="1"/>
    <col min="3846" max="3846" width="3.57421875" style="3" bestFit="1" customWidth="1"/>
    <col min="3847" max="3847" width="8.00390625" style="3" customWidth="1"/>
    <col min="3848" max="3848" width="9.7109375" style="3" customWidth="1"/>
    <col min="3849" max="3849" width="15.00390625" style="3" customWidth="1"/>
    <col min="3850" max="3850" width="15.57421875" style="3" customWidth="1"/>
    <col min="3851" max="3851" width="21.7109375" style="3" customWidth="1"/>
    <col min="3852" max="3853" width="8.140625" style="3" customWidth="1"/>
    <col min="3854" max="3854" width="18.00390625" style="3" customWidth="1"/>
    <col min="3855" max="3855" width="9.140625" style="3" customWidth="1"/>
    <col min="3856" max="3856" width="14.7109375" style="3" customWidth="1"/>
    <col min="3857" max="4097" width="9.140625" style="3" customWidth="1"/>
    <col min="4098" max="4098" width="0.71875" style="3" customWidth="1"/>
    <col min="4099" max="4099" width="4.57421875" style="3" customWidth="1"/>
    <col min="4100" max="4100" width="11.28125" style="3" customWidth="1"/>
    <col min="4101" max="4101" width="52.7109375" style="3" customWidth="1"/>
    <col min="4102" max="4102" width="3.57421875" style="3" bestFit="1" customWidth="1"/>
    <col min="4103" max="4103" width="8.00390625" style="3" customWidth="1"/>
    <col min="4104" max="4104" width="9.7109375" style="3" customWidth="1"/>
    <col min="4105" max="4105" width="15.00390625" style="3" customWidth="1"/>
    <col min="4106" max="4106" width="15.57421875" style="3" customWidth="1"/>
    <col min="4107" max="4107" width="21.7109375" style="3" customWidth="1"/>
    <col min="4108" max="4109" width="8.140625" style="3" customWidth="1"/>
    <col min="4110" max="4110" width="18.00390625" style="3" customWidth="1"/>
    <col min="4111" max="4111" width="9.140625" style="3" customWidth="1"/>
    <col min="4112" max="4112" width="14.7109375" style="3" customWidth="1"/>
    <col min="4113" max="4353" width="9.140625" style="3" customWidth="1"/>
    <col min="4354" max="4354" width="0.71875" style="3" customWidth="1"/>
    <col min="4355" max="4355" width="4.57421875" style="3" customWidth="1"/>
    <col min="4356" max="4356" width="11.28125" style="3" customWidth="1"/>
    <col min="4357" max="4357" width="52.7109375" style="3" customWidth="1"/>
    <col min="4358" max="4358" width="3.57421875" style="3" bestFit="1" customWidth="1"/>
    <col min="4359" max="4359" width="8.00390625" style="3" customWidth="1"/>
    <col min="4360" max="4360" width="9.7109375" style="3" customWidth="1"/>
    <col min="4361" max="4361" width="15.00390625" style="3" customWidth="1"/>
    <col min="4362" max="4362" width="15.57421875" style="3" customWidth="1"/>
    <col min="4363" max="4363" width="21.7109375" style="3" customWidth="1"/>
    <col min="4364" max="4365" width="8.140625" style="3" customWidth="1"/>
    <col min="4366" max="4366" width="18.00390625" style="3" customWidth="1"/>
    <col min="4367" max="4367" width="9.140625" style="3" customWidth="1"/>
    <col min="4368" max="4368" width="14.7109375" style="3" customWidth="1"/>
    <col min="4369" max="4609" width="9.140625" style="3" customWidth="1"/>
    <col min="4610" max="4610" width="0.71875" style="3" customWidth="1"/>
    <col min="4611" max="4611" width="4.57421875" style="3" customWidth="1"/>
    <col min="4612" max="4612" width="11.28125" style="3" customWidth="1"/>
    <col min="4613" max="4613" width="52.7109375" style="3" customWidth="1"/>
    <col min="4614" max="4614" width="3.57421875" style="3" bestFit="1" customWidth="1"/>
    <col min="4615" max="4615" width="8.00390625" style="3" customWidth="1"/>
    <col min="4616" max="4616" width="9.7109375" style="3" customWidth="1"/>
    <col min="4617" max="4617" width="15.00390625" style="3" customWidth="1"/>
    <col min="4618" max="4618" width="15.57421875" style="3" customWidth="1"/>
    <col min="4619" max="4619" width="21.7109375" style="3" customWidth="1"/>
    <col min="4620" max="4621" width="8.140625" style="3" customWidth="1"/>
    <col min="4622" max="4622" width="18.00390625" style="3" customWidth="1"/>
    <col min="4623" max="4623" width="9.140625" style="3" customWidth="1"/>
    <col min="4624" max="4624" width="14.7109375" style="3" customWidth="1"/>
    <col min="4625" max="4865" width="9.140625" style="3" customWidth="1"/>
    <col min="4866" max="4866" width="0.71875" style="3" customWidth="1"/>
    <col min="4867" max="4867" width="4.57421875" style="3" customWidth="1"/>
    <col min="4868" max="4868" width="11.28125" style="3" customWidth="1"/>
    <col min="4869" max="4869" width="52.7109375" style="3" customWidth="1"/>
    <col min="4870" max="4870" width="3.57421875" style="3" bestFit="1" customWidth="1"/>
    <col min="4871" max="4871" width="8.00390625" style="3" customWidth="1"/>
    <col min="4872" max="4872" width="9.7109375" style="3" customWidth="1"/>
    <col min="4873" max="4873" width="15.00390625" style="3" customWidth="1"/>
    <col min="4874" max="4874" width="15.57421875" style="3" customWidth="1"/>
    <col min="4875" max="4875" width="21.7109375" style="3" customWidth="1"/>
    <col min="4876" max="4877" width="8.140625" style="3" customWidth="1"/>
    <col min="4878" max="4878" width="18.00390625" style="3" customWidth="1"/>
    <col min="4879" max="4879" width="9.140625" style="3" customWidth="1"/>
    <col min="4880" max="4880" width="14.7109375" style="3" customWidth="1"/>
    <col min="4881" max="5121" width="9.140625" style="3" customWidth="1"/>
    <col min="5122" max="5122" width="0.71875" style="3" customWidth="1"/>
    <col min="5123" max="5123" width="4.57421875" style="3" customWidth="1"/>
    <col min="5124" max="5124" width="11.28125" style="3" customWidth="1"/>
    <col min="5125" max="5125" width="52.7109375" style="3" customWidth="1"/>
    <col min="5126" max="5126" width="3.57421875" style="3" bestFit="1" customWidth="1"/>
    <col min="5127" max="5127" width="8.00390625" style="3" customWidth="1"/>
    <col min="5128" max="5128" width="9.7109375" style="3" customWidth="1"/>
    <col min="5129" max="5129" width="15.00390625" style="3" customWidth="1"/>
    <col min="5130" max="5130" width="15.57421875" style="3" customWidth="1"/>
    <col min="5131" max="5131" width="21.7109375" style="3" customWidth="1"/>
    <col min="5132" max="5133" width="8.140625" style="3" customWidth="1"/>
    <col min="5134" max="5134" width="18.00390625" style="3" customWidth="1"/>
    <col min="5135" max="5135" width="9.140625" style="3" customWidth="1"/>
    <col min="5136" max="5136" width="14.7109375" style="3" customWidth="1"/>
    <col min="5137" max="5377" width="9.140625" style="3" customWidth="1"/>
    <col min="5378" max="5378" width="0.71875" style="3" customWidth="1"/>
    <col min="5379" max="5379" width="4.57421875" style="3" customWidth="1"/>
    <col min="5380" max="5380" width="11.28125" style="3" customWidth="1"/>
    <col min="5381" max="5381" width="52.7109375" style="3" customWidth="1"/>
    <col min="5382" max="5382" width="3.57421875" style="3" bestFit="1" customWidth="1"/>
    <col min="5383" max="5383" width="8.00390625" style="3" customWidth="1"/>
    <col min="5384" max="5384" width="9.7109375" style="3" customWidth="1"/>
    <col min="5385" max="5385" width="15.00390625" style="3" customWidth="1"/>
    <col min="5386" max="5386" width="15.57421875" style="3" customWidth="1"/>
    <col min="5387" max="5387" width="21.7109375" style="3" customWidth="1"/>
    <col min="5388" max="5389" width="8.140625" style="3" customWidth="1"/>
    <col min="5390" max="5390" width="18.00390625" style="3" customWidth="1"/>
    <col min="5391" max="5391" width="9.140625" style="3" customWidth="1"/>
    <col min="5392" max="5392" width="14.7109375" style="3" customWidth="1"/>
    <col min="5393" max="5633" width="9.140625" style="3" customWidth="1"/>
    <col min="5634" max="5634" width="0.71875" style="3" customWidth="1"/>
    <col min="5635" max="5635" width="4.57421875" style="3" customWidth="1"/>
    <col min="5636" max="5636" width="11.28125" style="3" customWidth="1"/>
    <col min="5637" max="5637" width="52.7109375" style="3" customWidth="1"/>
    <col min="5638" max="5638" width="3.57421875" style="3" bestFit="1" customWidth="1"/>
    <col min="5639" max="5639" width="8.00390625" style="3" customWidth="1"/>
    <col min="5640" max="5640" width="9.7109375" style="3" customWidth="1"/>
    <col min="5641" max="5641" width="15.00390625" style="3" customWidth="1"/>
    <col min="5642" max="5642" width="15.57421875" style="3" customWidth="1"/>
    <col min="5643" max="5643" width="21.7109375" style="3" customWidth="1"/>
    <col min="5644" max="5645" width="8.140625" style="3" customWidth="1"/>
    <col min="5646" max="5646" width="18.00390625" style="3" customWidth="1"/>
    <col min="5647" max="5647" width="9.140625" style="3" customWidth="1"/>
    <col min="5648" max="5648" width="14.7109375" style="3" customWidth="1"/>
    <col min="5649" max="5889" width="9.140625" style="3" customWidth="1"/>
    <col min="5890" max="5890" width="0.71875" style="3" customWidth="1"/>
    <col min="5891" max="5891" width="4.57421875" style="3" customWidth="1"/>
    <col min="5892" max="5892" width="11.28125" style="3" customWidth="1"/>
    <col min="5893" max="5893" width="52.7109375" style="3" customWidth="1"/>
    <col min="5894" max="5894" width="3.57421875" style="3" bestFit="1" customWidth="1"/>
    <col min="5895" max="5895" width="8.00390625" style="3" customWidth="1"/>
    <col min="5896" max="5896" width="9.7109375" style="3" customWidth="1"/>
    <col min="5897" max="5897" width="15.00390625" style="3" customWidth="1"/>
    <col min="5898" max="5898" width="15.57421875" style="3" customWidth="1"/>
    <col min="5899" max="5899" width="21.7109375" style="3" customWidth="1"/>
    <col min="5900" max="5901" width="8.140625" style="3" customWidth="1"/>
    <col min="5902" max="5902" width="18.00390625" style="3" customWidth="1"/>
    <col min="5903" max="5903" width="9.140625" style="3" customWidth="1"/>
    <col min="5904" max="5904" width="14.7109375" style="3" customWidth="1"/>
    <col min="5905" max="6145" width="9.140625" style="3" customWidth="1"/>
    <col min="6146" max="6146" width="0.71875" style="3" customWidth="1"/>
    <col min="6147" max="6147" width="4.57421875" style="3" customWidth="1"/>
    <col min="6148" max="6148" width="11.28125" style="3" customWidth="1"/>
    <col min="6149" max="6149" width="52.7109375" style="3" customWidth="1"/>
    <col min="6150" max="6150" width="3.57421875" style="3" bestFit="1" customWidth="1"/>
    <col min="6151" max="6151" width="8.00390625" style="3" customWidth="1"/>
    <col min="6152" max="6152" width="9.7109375" style="3" customWidth="1"/>
    <col min="6153" max="6153" width="15.00390625" style="3" customWidth="1"/>
    <col min="6154" max="6154" width="15.57421875" style="3" customWidth="1"/>
    <col min="6155" max="6155" width="21.7109375" style="3" customWidth="1"/>
    <col min="6156" max="6157" width="8.140625" style="3" customWidth="1"/>
    <col min="6158" max="6158" width="18.00390625" style="3" customWidth="1"/>
    <col min="6159" max="6159" width="9.140625" style="3" customWidth="1"/>
    <col min="6160" max="6160" width="14.7109375" style="3" customWidth="1"/>
    <col min="6161" max="6401" width="9.140625" style="3" customWidth="1"/>
    <col min="6402" max="6402" width="0.71875" style="3" customWidth="1"/>
    <col min="6403" max="6403" width="4.57421875" style="3" customWidth="1"/>
    <col min="6404" max="6404" width="11.28125" style="3" customWidth="1"/>
    <col min="6405" max="6405" width="52.7109375" style="3" customWidth="1"/>
    <col min="6406" max="6406" width="3.57421875" style="3" bestFit="1" customWidth="1"/>
    <col min="6407" max="6407" width="8.00390625" style="3" customWidth="1"/>
    <col min="6408" max="6408" width="9.7109375" style="3" customWidth="1"/>
    <col min="6409" max="6409" width="15.00390625" style="3" customWidth="1"/>
    <col min="6410" max="6410" width="15.57421875" style="3" customWidth="1"/>
    <col min="6411" max="6411" width="21.7109375" style="3" customWidth="1"/>
    <col min="6412" max="6413" width="8.140625" style="3" customWidth="1"/>
    <col min="6414" max="6414" width="18.00390625" style="3" customWidth="1"/>
    <col min="6415" max="6415" width="9.140625" style="3" customWidth="1"/>
    <col min="6416" max="6416" width="14.7109375" style="3" customWidth="1"/>
    <col min="6417" max="6657" width="9.140625" style="3" customWidth="1"/>
    <col min="6658" max="6658" width="0.71875" style="3" customWidth="1"/>
    <col min="6659" max="6659" width="4.57421875" style="3" customWidth="1"/>
    <col min="6660" max="6660" width="11.28125" style="3" customWidth="1"/>
    <col min="6661" max="6661" width="52.7109375" style="3" customWidth="1"/>
    <col min="6662" max="6662" width="3.57421875" style="3" bestFit="1" customWidth="1"/>
    <col min="6663" max="6663" width="8.00390625" style="3" customWidth="1"/>
    <col min="6664" max="6664" width="9.7109375" style="3" customWidth="1"/>
    <col min="6665" max="6665" width="15.00390625" style="3" customWidth="1"/>
    <col min="6666" max="6666" width="15.57421875" style="3" customWidth="1"/>
    <col min="6667" max="6667" width="21.7109375" style="3" customWidth="1"/>
    <col min="6668" max="6669" width="8.140625" style="3" customWidth="1"/>
    <col min="6670" max="6670" width="18.00390625" style="3" customWidth="1"/>
    <col min="6671" max="6671" width="9.140625" style="3" customWidth="1"/>
    <col min="6672" max="6672" width="14.7109375" style="3" customWidth="1"/>
    <col min="6673" max="6913" width="9.140625" style="3" customWidth="1"/>
    <col min="6914" max="6914" width="0.71875" style="3" customWidth="1"/>
    <col min="6915" max="6915" width="4.57421875" style="3" customWidth="1"/>
    <col min="6916" max="6916" width="11.28125" style="3" customWidth="1"/>
    <col min="6917" max="6917" width="52.7109375" style="3" customWidth="1"/>
    <col min="6918" max="6918" width="3.57421875" style="3" bestFit="1" customWidth="1"/>
    <col min="6919" max="6919" width="8.00390625" style="3" customWidth="1"/>
    <col min="6920" max="6920" width="9.7109375" style="3" customWidth="1"/>
    <col min="6921" max="6921" width="15.00390625" style="3" customWidth="1"/>
    <col min="6922" max="6922" width="15.57421875" style="3" customWidth="1"/>
    <col min="6923" max="6923" width="21.7109375" style="3" customWidth="1"/>
    <col min="6924" max="6925" width="8.140625" style="3" customWidth="1"/>
    <col min="6926" max="6926" width="18.00390625" style="3" customWidth="1"/>
    <col min="6927" max="6927" width="9.140625" style="3" customWidth="1"/>
    <col min="6928" max="6928" width="14.7109375" style="3" customWidth="1"/>
    <col min="6929" max="7169" width="9.140625" style="3" customWidth="1"/>
    <col min="7170" max="7170" width="0.71875" style="3" customWidth="1"/>
    <col min="7171" max="7171" width="4.57421875" style="3" customWidth="1"/>
    <col min="7172" max="7172" width="11.28125" style="3" customWidth="1"/>
    <col min="7173" max="7173" width="52.7109375" style="3" customWidth="1"/>
    <col min="7174" max="7174" width="3.57421875" style="3" bestFit="1" customWidth="1"/>
    <col min="7175" max="7175" width="8.00390625" style="3" customWidth="1"/>
    <col min="7176" max="7176" width="9.7109375" style="3" customWidth="1"/>
    <col min="7177" max="7177" width="15.00390625" style="3" customWidth="1"/>
    <col min="7178" max="7178" width="15.57421875" style="3" customWidth="1"/>
    <col min="7179" max="7179" width="21.7109375" style="3" customWidth="1"/>
    <col min="7180" max="7181" width="8.140625" style="3" customWidth="1"/>
    <col min="7182" max="7182" width="18.00390625" style="3" customWidth="1"/>
    <col min="7183" max="7183" width="9.140625" style="3" customWidth="1"/>
    <col min="7184" max="7184" width="14.7109375" style="3" customWidth="1"/>
    <col min="7185" max="7425" width="9.140625" style="3" customWidth="1"/>
    <col min="7426" max="7426" width="0.71875" style="3" customWidth="1"/>
    <col min="7427" max="7427" width="4.57421875" style="3" customWidth="1"/>
    <col min="7428" max="7428" width="11.28125" style="3" customWidth="1"/>
    <col min="7429" max="7429" width="52.7109375" style="3" customWidth="1"/>
    <col min="7430" max="7430" width="3.57421875" style="3" bestFit="1" customWidth="1"/>
    <col min="7431" max="7431" width="8.00390625" style="3" customWidth="1"/>
    <col min="7432" max="7432" width="9.7109375" style="3" customWidth="1"/>
    <col min="7433" max="7433" width="15.00390625" style="3" customWidth="1"/>
    <col min="7434" max="7434" width="15.57421875" style="3" customWidth="1"/>
    <col min="7435" max="7435" width="21.7109375" style="3" customWidth="1"/>
    <col min="7436" max="7437" width="8.140625" style="3" customWidth="1"/>
    <col min="7438" max="7438" width="18.00390625" style="3" customWidth="1"/>
    <col min="7439" max="7439" width="9.140625" style="3" customWidth="1"/>
    <col min="7440" max="7440" width="14.7109375" style="3" customWidth="1"/>
    <col min="7441" max="7681" width="9.140625" style="3" customWidth="1"/>
    <col min="7682" max="7682" width="0.71875" style="3" customWidth="1"/>
    <col min="7683" max="7683" width="4.57421875" style="3" customWidth="1"/>
    <col min="7684" max="7684" width="11.28125" style="3" customWidth="1"/>
    <col min="7685" max="7685" width="52.7109375" style="3" customWidth="1"/>
    <col min="7686" max="7686" width="3.57421875" style="3" bestFit="1" customWidth="1"/>
    <col min="7687" max="7687" width="8.00390625" style="3" customWidth="1"/>
    <col min="7688" max="7688" width="9.7109375" style="3" customWidth="1"/>
    <col min="7689" max="7689" width="15.00390625" style="3" customWidth="1"/>
    <col min="7690" max="7690" width="15.57421875" style="3" customWidth="1"/>
    <col min="7691" max="7691" width="21.7109375" style="3" customWidth="1"/>
    <col min="7692" max="7693" width="8.140625" style="3" customWidth="1"/>
    <col min="7694" max="7694" width="18.00390625" style="3" customWidth="1"/>
    <col min="7695" max="7695" width="9.140625" style="3" customWidth="1"/>
    <col min="7696" max="7696" width="14.7109375" style="3" customWidth="1"/>
    <col min="7697" max="7937" width="9.140625" style="3" customWidth="1"/>
    <col min="7938" max="7938" width="0.71875" style="3" customWidth="1"/>
    <col min="7939" max="7939" width="4.57421875" style="3" customWidth="1"/>
    <col min="7940" max="7940" width="11.28125" style="3" customWidth="1"/>
    <col min="7941" max="7941" width="52.7109375" style="3" customWidth="1"/>
    <col min="7942" max="7942" width="3.57421875" style="3" bestFit="1" customWidth="1"/>
    <col min="7943" max="7943" width="8.00390625" style="3" customWidth="1"/>
    <col min="7944" max="7944" width="9.7109375" style="3" customWidth="1"/>
    <col min="7945" max="7945" width="15.00390625" style="3" customWidth="1"/>
    <col min="7946" max="7946" width="15.57421875" style="3" customWidth="1"/>
    <col min="7947" max="7947" width="21.7109375" style="3" customWidth="1"/>
    <col min="7948" max="7949" width="8.140625" style="3" customWidth="1"/>
    <col min="7950" max="7950" width="18.00390625" style="3" customWidth="1"/>
    <col min="7951" max="7951" width="9.140625" style="3" customWidth="1"/>
    <col min="7952" max="7952" width="14.7109375" style="3" customWidth="1"/>
    <col min="7953" max="8193" width="9.140625" style="3" customWidth="1"/>
    <col min="8194" max="8194" width="0.71875" style="3" customWidth="1"/>
    <col min="8195" max="8195" width="4.57421875" style="3" customWidth="1"/>
    <col min="8196" max="8196" width="11.28125" style="3" customWidth="1"/>
    <col min="8197" max="8197" width="52.7109375" style="3" customWidth="1"/>
    <col min="8198" max="8198" width="3.57421875" style="3" bestFit="1" customWidth="1"/>
    <col min="8199" max="8199" width="8.00390625" style="3" customWidth="1"/>
    <col min="8200" max="8200" width="9.7109375" style="3" customWidth="1"/>
    <col min="8201" max="8201" width="15.00390625" style="3" customWidth="1"/>
    <col min="8202" max="8202" width="15.57421875" style="3" customWidth="1"/>
    <col min="8203" max="8203" width="21.7109375" style="3" customWidth="1"/>
    <col min="8204" max="8205" width="8.140625" style="3" customWidth="1"/>
    <col min="8206" max="8206" width="18.00390625" style="3" customWidth="1"/>
    <col min="8207" max="8207" width="9.140625" style="3" customWidth="1"/>
    <col min="8208" max="8208" width="14.7109375" style="3" customWidth="1"/>
    <col min="8209" max="8449" width="9.140625" style="3" customWidth="1"/>
    <col min="8450" max="8450" width="0.71875" style="3" customWidth="1"/>
    <col min="8451" max="8451" width="4.57421875" style="3" customWidth="1"/>
    <col min="8452" max="8452" width="11.28125" style="3" customWidth="1"/>
    <col min="8453" max="8453" width="52.7109375" style="3" customWidth="1"/>
    <col min="8454" max="8454" width="3.57421875" style="3" bestFit="1" customWidth="1"/>
    <col min="8455" max="8455" width="8.00390625" style="3" customWidth="1"/>
    <col min="8456" max="8456" width="9.7109375" style="3" customWidth="1"/>
    <col min="8457" max="8457" width="15.00390625" style="3" customWidth="1"/>
    <col min="8458" max="8458" width="15.57421875" style="3" customWidth="1"/>
    <col min="8459" max="8459" width="21.7109375" style="3" customWidth="1"/>
    <col min="8460" max="8461" width="8.140625" style="3" customWidth="1"/>
    <col min="8462" max="8462" width="18.00390625" style="3" customWidth="1"/>
    <col min="8463" max="8463" width="9.140625" style="3" customWidth="1"/>
    <col min="8464" max="8464" width="14.7109375" style="3" customWidth="1"/>
    <col min="8465" max="8705" width="9.140625" style="3" customWidth="1"/>
    <col min="8706" max="8706" width="0.71875" style="3" customWidth="1"/>
    <col min="8707" max="8707" width="4.57421875" style="3" customWidth="1"/>
    <col min="8708" max="8708" width="11.28125" style="3" customWidth="1"/>
    <col min="8709" max="8709" width="52.7109375" style="3" customWidth="1"/>
    <col min="8710" max="8710" width="3.57421875" style="3" bestFit="1" customWidth="1"/>
    <col min="8711" max="8711" width="8.00390625" style="3" customWidth="1"/>
    <col min="8712" max="8712" width="9.7109375" style="3" customWidth="1"/>
    <col min="8713" max="8713" width="15.00390625" style="3" customWidth="1"/>
    <col min="8714" max="8714" width="15.57421875" style="3" customWidth="1"/>
    <col min="8715" max="8715" width="21.7109375" style="3" customWidth="1"/>
    <col min="8716" max="8717" width="8.140625" style="3" customWidth="1"/>
    <col min="8718" max="8718" width="18.00390625" style="3" customWidth="1"/>
    <col min="8719" max="8719" width="9.140625" style="3" customWidth="1"/>
    <col min="8720" max="8720" width="14.7109375" style="3" customWidth="1"/>
    <col min="8721" max="8961" width="9.140625" style="3" customWidth="1"/>
    <col min="8962" max="8962" width="0.71875" style="3" customWidth="1"/>
    <col min="8963" max="8963" width="4.57421875" style="3" customWidth="1"/>
    <col min="8964" max="8964" width="11.28125" style="3" customWidth="1"/>
    <col min="8965" max="8965" width="52.7109375" style="3" customWidth="1"/>
    <col min="8966" max="8966" width="3.57421875" style="3" bestFit="1" customWidth="1"/>
    <col min="8967" max="8967" width="8.00390625" style="3" customWidth="1"/>
    <col min="8968" max="8968" width="9.7109375" style="3" customWidth="1"/>
    <col min="8969" max="8969" width="15.00390625" style="3" customWidth="1"/>
    <col min="8970" max="8970" width="15.57421875" style="3" customWidth="1"/>
    <col min="8971" max="8971" width="21.7109375" style="3" customWidth="1"/>
    <col min="8972" max="8973" width="8.140625" style="3" customWidth="1"/>
    <col min="8974" max="8974" width="18.00390625" style="3" customWidth="1"/>
    <col min="8975" max="8975" width="9.140625" style="3" customWidth="1"/>
    <col min="8976" max="8976" width="14.7109375" style="3" customWidth="1"/>
    <col min="8977" max="9217" width="9.140625" style="3" customWidth="1"/>
    <col min="9218" max="9218" width="0.71875" style="3" customWidth="1"/>
    <col min="9219" max="9219" width="4.57421875" style="3" customWidth="1"/>
    <col min="9220" max="9220" width="11.28125" style="3" customWidth="1"/>
    <col min="9221" max="9221" width="52.7109375" style="3" customWidth="1"/>
    <col min="9222" max="9222" width="3.57421875" style="3" bestFit="1" customWidth="1"/>
    <col min="9223" max="9223" width="8.00390625" style="3" customWidth="1"/>
    <col min="9224" max="9224" width="9.7109375" style="3" customWidth="1"/>
    <col min="9225" max="9225" width="15.00390625" style="3" customWidth="1"/>
    <col min="9226" max="9226" width="15.57421875" style="3" customWidth="1"/>
    <col min="9227" max="9227" width="21.7109375" style="3" customWidth="1"/>
    <col min="9228" max="9229" width="8.140625" style="3" customWidth="1"/>
    <col min="9230" max="9230" width="18.00390625" style="3" customWidth="1"/>
    <col min="9231" max="9231" width="9.140625" style="3" customWidth="1"/>
    <col min="9232" max="9232" width="14.7109375" style="3" customWidth="1"/>
    <col min="9233" max="9473" width="9.140625" style="3" customWidth="1"/>
    <col min="9474" max="9474" width="0.71875" style="3" customWidth="1"/>
    <col min="9475" max="9475" width="4.57421875" style="3" customWidth="1"/>
    <col min="9476" max="9476" width="11.28125" style="3" customWidth="1"/>
    <col min="9477" max="9477" width="52.7109375" style="3" customWidth="1"/>
    <col min="9478" max="9478" width="3.57421875" style="3" bestFit="1" customWidth="1"/>
    <col min="9479" max="9479" width="8.00390625" style="3" customWidth="1"/>
    <col min="9480" max="9480" width="9.7109375" style="3" customWidth="1"/>
    <col min="9481" max="9481" width="15.00390625" style="3" customWidth="1"/>
    <col min="9482" max="9482" width="15.57421875" style="3" customWidth="1"/>
    <col min="9483" max="9483" width="21.7109375" style="3" customWidth="1"/>
    <col min="9484" max="9485" width="8.140625" style="3" customWidth="1"/>
    <col min="9486" max="9486" width="18.00390625" style="3" customWidth="1"/>
    <col min="9487" max="9487" width="9.140625" style="3" customWidth="1"/>
    <col min="9488" max="9488" width="14.7109375" style="3" customWidth="1"/>
    <col min="9489" max="9729" width="9.140625" style="3" customWidth="1"/>
    <col min="9730" max="9730" width="0.71875" style="3" customWidth="1"/>
    <col min="9731" max="9731" width="4.57421875" style="3" customWidth="1"/>
    <col min="9732" max="9732" width="11.28125" style="3" customWidth="1"/>
    <col min="9733" max="9733" width="52.7109375" style="3" customWidth="1"/>
    <col min="9734" max="9734" width="3.57421875" style="3" bestFit="1" customWidth="1"/>
    <col min="9735" max="9735" width="8.00390625" style="3" customWidth="1"/>
    <col min="9736" max="9736" width="9.7109375" style="3" customWidth="1"/>
    <col min="9737" max="9737" width="15.00390625" style="3" customWidth="1"/>
    <col min="9738" max="9738" width="15.57421875" style="3" customWidth="1"/>
    <col min="9739" max="9739" width="21.7109375" style="3" customWidth="1"/>
    <col min="9740" max="9741" width="8.140625" style="3" customWidth="1"/>
    <col min="9742" max="9742" width="18.00390625" style="3" customWidth="1"/>
    <col min="9743" max="9743" width="9.140625" style="3" customWidth="1"/>
    <col min="9744" max="9744" width="14.7109375" style="3" customWidth="1"/>
    <col min="9745" max="9985" width="9.140625" style="3" customWidth="1"/>
    <col min="9986" max="9986" width="0.71875" style="3" customWidth="1"/>
    <col min="9987" max="9987" width="4.57421875" style="3" customWidth="1"/>
    <col min="9988" max="9988" width="11.28125" style="3" customWidth="1"/>
    <col min="9989" max="9989" width="52.7109375" style="3" customWidth="1"/>
    <col min="9990" max="9990" width="3.57421875" style="3" bestFit="1" customWidth="1"/>
    <col min="9991" max="9991" width="8.00390625" style="3" customWidth="1"/>
    <col min="9992" max="9992" width="9.7109375" style="3" customWidth="1"/>
    <col min="9993" max="9993" width="15.00390625" style="3" customWidth="1"/>
    <col min="9994" max="9994" width="15.57421875" style="3" customWidth="1"/>
    <col min="9995" max="9995" width="21.7109375" style="3" customWidth="1"/>
    <col min="9996" max="9997" width="8.140625" style="3" customWidth="1"/>
    <col min="9998" max="9998" width="18.00390625" style="3" customWidth="1"/>
    <col min="9999" max="9999" width="9.140625" style="3" customWidth="1"/>
    <col min="10000" max="10000" width="14.7109375" style="3" customWidth="1"/>
    <col min="10001" max="10241" width="9.140625" style="3" customWidth="1"/>
    <col min="10242" max="10242" width="0.71875" style="3" customWidth="1"/>
    <col min="10243" max="10243" width="4.57421875" style="3" customWidth="1"/>
    <col min="10244" max="10244" width="11.28125" style="3" customWidth="1"/>
    <col min="10245" max="10245" width="52.7109375" style="3" customWidth="1"/>
    <col min="10246" max="10246" width="3.57421875" style="3" bestFit="1" customWidth="1"/>
    <col min="10247" max="10247" width="8.00390625" style="3" customWidth="1"/>
    <col min="10248" max="10248" width="9.7109375" style="3" customWidth="1"/>
    <col min="10249" max="10249" width="15.00390625" style="3" customWidth="1"/>
    <col min="10250" max="10250" width="15.57421875" style="3" customWidth="1"/>
    <col min="10251" max="10251" width="21.7109375" style="3" customWidth="1"/>
    <col min="10252" max="10253" width="8.140625" style="3" customWidth="1"/>
    <col min="10254" max="10254" width="18.00390625" style="3" customWidth="1"/>
    <col min="10255" max="10255" width="9.140625" style="3" customWidth="1"/>
    <col min="10256" max="10256" width="14.7109375" style="3" customWidth="1"/>
    <col min="10257" max="10497" width="9.140625" style="3" customWidth="1"/>
    <col min="10498" max="10498" width="0.71875" style="3" customWidth="1"/>
    <col min="10499" max="10499" width="4.57421875" style="3" customWidth="1"/>
    <col min="10500" max="10500" width="11.28125" style="3" customWidth="1"/>
    <col min="10501" max="10501" width="52.7109375" style="3" customWidth="1"/>
    <col min="10502" max="10502" width="3.57421875" style="3" bestFit="1" customWidth="1"/>
    <col min="10503" max="10503" width="8.00390625" style="3" customWidth="1"/>
    <col min="10504" max="10504" width="9.7109375" style="3" customWidth="1"/>
    <col min="10505" max="10505" width="15.00390625" style="3" customWidth="1"/>
    <col min="10506" max="10506" width="15.57421875" style="3" customWidth="1"/>
    <col min="10507" max="10507" width="21.7109375" style="3" customWidth="1"/>
    <col min="10508" max="10509" width="8.140625" style="3" customWidth="1"/>
    <col min="10510" max="10510" width="18.00390625" style="3" customWidth="1"/>
    <col min="10511" max="10511" width="9.140625" style="3" customWidth="1"/>
    <col min="10512" max="10512" width="14.7109375" style="3" customWidth="1"/>
    <col min="10513" max="10753" width="9.140625" style="3" customWidth="1"/>
    <col min="10754" max="10754" width="0.71875" style="3" customWidth="1"/>
    <col min="10755" max="10755" width="4.57421875" style="3" customWidth="1"/>
    <col min="10756" max="10756" width="11.28125" style="3" customWidth="1"/>
    <col min="10757" max="10757" width="52.7109375" style="3" customWidth="1"/>
    <col min="10758" max="10758" width="3.57421875" style="3" bestFit="1" customWidth="1"/>
    <col min="10759" max="10759" width="8.00390625" style="3" customWidth="1"/>
    <col min="10760" max="10760" width="9.7109375" style="3" customWidth="1"/>
    <col min="10761" max="10761" width="15.00390625" style="3" customWidth="1"/>
    <col min="10762" max="10762" width="15.57421875" style="3" customWidth="1"/>
    <col min="10763" max="10763" width="21.7109375" style="3" customWidth="1"/>
    <col min="10764" max="10765" width="8.140625" style="3" customWidth="1"/>
    <col min="10766" max="10766" width="18.00390625" style="3" customWidth="1"/>
    <col min="10767" max="10767" width="9.140625" style="3" customWidth="1"/>
    <col min="10768" max="10768" width="14.7109375" style="3" customWidth="1"/>
    <col min="10769" max="11009" width="9.140625" style="3" customWidth="1"/>
    <col min="11010" max="11010" width="0.71875" style="3" customWidth="1"/>
    <col min="11011" max="11011" width="4.57421875" style="3" customWidth="1"/>
    <col min="11012" max="11012" width="11.28125" style="3" customWidth="1"/>
    <col min="11013" max="11013" width="52.7109375" style="3" customWidth="1"/>
    <col min="11014" max="11014" width="3.57421875" style="3" bestFit="1" customWidth="1"/>
    <col min="11015" max="11015" width="8.00390625" style="3" customWidth="1"/>
    <col min="11016" max="11016" width="9.7109375" style="3" customWidth="1"/>
    <col min="11017" max="11017" width="15.00390625" style="3" customWidth="1"/>
    <col min="11018" max="11018" width="15.57421875" style="3" customWidth="1"/>
    <col min="11019" max="11019" width="21.7109375" style="3" customWidth="1"/>
    <col min="11020" max="11021" width="8.140625" style="3" customWidth="1"/>
    <col min="11022" max="11022" width="18.00390625" style="3" customWidth="1"/>
    <col min="11023" max="11023" width="9.140625" style="3" customWidth="1"/>
    <col min="11024" max="11024" width="14.7109375" style="3" customWidth="1"/>
    <col min="11025" max="11265" width="9.140625" style="3" customWidth="1"/>
    <col min="11266" max="11266" width="0.71875" style="3" customWidth="1"/>
    <col min="11267" max="11267" width="4.57421875" style="3" customWidth="1"/>
    <col min="11268" max="11268" width="11.28125" style="3" customWidth="1"/>
    <col min="11269" max="11269" width="52.7109375" style="3" customWidth="1"/>
    <col min="11270" max="11270" width="3.57421875" style="3" bestFit="1" customWidth="1"/>
    <col min="11271" max="11271" width="8.00390625" style="3" customWidth="1"/>
    <col min="11272" max="11272" width="9.7109375" style="3" customWidth="1"/>
    <col min="11273" max="11273" width="15.00390625" style="3" customWidth="1"/>
    <col min="11274" max="11274" width="15.57421875" style="3" customWidth="1"/>
    <col min="11275" max="11275" width="21.7109375" style="3" customWidth="1"/>
    <col min="11276" max="11277" width="8.140625" style="3" customWidth="1"/>
    <col min="11278" max="11278" width="18.00390625" style="3" customWidth="1"/>
    <col min="11279" max="11279" width="9.140625" style="3" customWidth="1"/>
    <col min="11280" max="11280" width="14.7109375" style="3" customWidth="1"/>
    <col min="11281" max="11521" width="9.140625" style="3" customWidth="1"/>
    <col min="11522" max="11522" width="0.71875" style="3" customWidth="1"/>
    <col min="11523" max="11523" width="4.57421875" style="3" customWidth="1"/>
    <col min="11524" max="11524" width="11.28125" style="3" customWidth="1"/>
    <col min="11525" max="11525" width="52.7109375" style="3" customWidth="1"/>
    <col min="11526" max="11526" width="3.57421875" style="3" bestFit="1" customWidth="1"/>
    <col min="11527" max="11527" width="8.00390625" style="3" customWidth="1"/>
    <col min="11528" max="11528" width="9.7109375" style="3" customWidth="1"/>
    <col min="11529" max="11529" width="15.00390625" style="3" customWidth="1"/>
    <col min="11530" max="11530" width="15.57421875" style="3" customWidth="1"/>
    <col min="11531" max="11531" width="21.7109375" style="3" customWidth="1"/>
    <col min="11532" max="11533" width="8.140625" style="3" customWidth="1"/>
    <col min="11534" max="11534" width="18.00390625" style="3" customWidth="1"/>
    <col min="11535" max="11535" width="9.140625" style="3" customWidth="1"/>
    <col min="11536" max="11536" width="14.7109375" style="3" customWidth="1"/>
    <col min="11537" max="11777" width="9.140625" style="3" customWidth="1"/>
    <col min="11778" max="11778" width="0.71875" style="3" customWidth="1"/>
    <col min="11779" max="11779" width="4.57421875" style="3" customWidth="1"/>
    <col min="11780" max="11780" width="11.28125" style="3" customWidth="1"/>
    <col min="11781" max="11781" width="52.7109375" style="3" customWidth="1"/>
    <col min="11782" max="11782" width="3.57421875" style="3" bestFit="1" customWidth="1"/>
    <col min="11783" max="11783" width="8.00390625" style="3" customWidth="1"/>
    <col min="11784" max="11784" width="9.7109375" style="3" customWidth="1"/>
    <col min="11785" max="11785" width="15.00390625" style="3" customWidth="1"/>
    <col min="11786" max="11786" width="15.57421875" style="3" customWidth="1"/>
    <col min="11787" max="11787" width="21.7109375" style="3" customWidth="1"/>
    <col min="11788" max="11789" width="8.140625" style="3" customWidth="1"/>
    <col min="11790" max="11790" width="18.00390625" style="3" customWidth="1"/>
    <col min="11791" max="11791" width="9.140625" style="3" customWidth="1"/>
    <col min="11792" max="11792" width="14.7109375" style="3" customWidth="1"/>
    <col min="11793" max="12033" width="9.140625" style="3" customWidth="1"/>
    <col min="12034" max="12034" width="0.71875" style="3" customWidth="1"/>
    <col min="12035" max="12035" width="4.57421875" style="3" customWidth="1"/>
    <col min="12036" max="12036" width="11.28125" style="3" customWidth="1"/>
    <col min="12037" max="12037" width="52.7109375" style="3" customWidth="1"/>
    <col min="12038" max="12038" width="3.57421875" style="3" bestFit="1" customWidth="1"/>
    <col min="12039" max="12039" width="8.00390625" style="3" customWidth="1"/>
    <col min="12040" max="12040" width="9.7109375" style="3" customWidth="1"/>
    <col min="12041" max="12041" width="15.00390625" style="3" customWidth="1"/>
    <col min="12042" max="12042" width="15.57421875" style="3" customWidth="1"/>
    <col min="12043" max="12043" width="21.7109375" style="3" customWidth="1"/>
    <col min="12044" max="12045" width="8.140625" style="3" customWidth="1"/>
    <col min="12046" max="12046" width="18.00390625" style="3" customWidth="1"/>
    <col min="12047" max="12047" width="9.140625" style="3" customWidth="1"/>
    <col min="12048" max="12048" width="14.7109375" style="3" customWidth="1"/>
    <col min="12049" max="12289" width="9.140625" style="3" customWidth="1"/>
    <col min="12290" max="12290" width="0.71875" style="3" customWidth="1"/>
    <col min="12291" max="12291" width="4.57421875" style="3" customWidth="1"/>
    <col min="12292" max="12292" width="11.28125" style="3" customWidth="1"/>
    <col min="12293" max="12293" width="52.7109375" style="3" customWidth="1"/>
    <col min="12294" max="12294" width="3.57421875" style="3" bestFit="1" customWidth="1"/>
    <col min="12295" max="12295" width="8.00390625" style="3" customWidth="1"/>
    <col min="12296" max="12296" width="9.7109375" style="3" customWidth="1"/>
    <col min="12297" max="12297" width="15.00390625" style="3" customWidth="1"/>
    <col min="12298" max="12298" width="15.57421875" style="3" customWidth="1"/>
    <col min="12299" max="12299" width="21.7109375" style="3" customWidth="1"/>
    <col min="12300" max="12301" width="8.140625" style="3" customWidth="1"/>
    <col min="12302" max="12302" width="18.00390625" style="3" customWidth="1"/>
    <col min="12303" max="12303" width="9.140625" style="3" customWidth="1"/>
    <col min="12304" max="12304" width="14.7109375" style="3" customWidth="1"/>
    <col min="12305" max="12545" width="9.140625" style="3" customWidth="1"/>
    <col min="12546" max="12546" width="0.71875" style="3" customWidth="1"/>
    <col min="12547" max="12547" width="4.57421875" style="3" customWidth="1"/>
    <col min="12548" max="12548" width="11.28125" style="3" customWidth="1"/>
    <col min="12549" max="12549" width="52.7109375" style="3" customWidth="1"/>
    <col min="12550" max="12550" width="3.57421875" style="3" bestFit="1" customWidth="1"/>
    <col min="12551" max="12551" width="8.00390625" style="3" customWidth="1"/>
    <col min="12552" max="12552" width="9.7109375" style="3" customWidth="1"/>
    <col min="12553" max="12553" width="15.00390625" style="3" customWidth="1"/>
    <col min="12554" max="12554" width="15.57421875" style="3" customWidth="1"/>
    <col min="12555" max="12555" width="21.7109375" style="3" customWidth="1"/>
    <col min="12556" max="12557" width="8.140625" style="3" customWidth="1"/>
    <col min="12558" max="12558" width="18.00390625" style="3" customWidth="1"/>
    <col min="12559" max="12559" width="9.140625" style="3" customWidth="1"/>
    <col min="12560" max="12560" width="14.7109375" style="3" customWidth="1"/>
    <col min="12561" max="12801" width="9.140625" style="3" customWidth="1"/>
    <col min="12802" max="12802" width="0.71875" style="3" customWidth="1"/>
    <col min="12803" max="12803" width="4.57421875" style="3" customWidth="1"/>
    <col min="12804" max="12804" width="11.28125" style="3" customWidth="1"/>
    <col min="12805" max="12805" width="52.7109375" style="3" customWidth="1"/>
    <col min="12806" max="12806" width="3.57421875" style="3" bestFit="1" customWidth="1"/>
    <col min="12807" max="12807" width="8.00390625" style="3" customWidth="1"/>
    <col min="12808" max="12808" width="9.7109375" style="3" customWidth="1"/>
    <col min="12809" max="12809" width="15.00390625" style="3" customWidth="1"/>
    <col min="12810" max="12810" width="15.57421875" style="3" customWidth="1"/>
    <col min="12811" max="12811" width="21.7109375" style="3" customWidth="1"/>
    <col min="12812" max="12813" width="8.140625" style="3" customWidth="1"/>
    <col min="12814" max="12814" width="18.00390625" style="3" customWidth="1"/>
    <col min="12815" max="12815" width="9.140625" style="3" customWidth="1"/>
    <col min="12816" max="12816" width="14.7109375" style="3" customWidth="1"/>
    <col min="12817" max="13057" width="9.140625" style="3" customWidth="1"/>
    <col min="13058" max="13058" width="0.71875" style="3" customWidth="1"/>
    <col min="13059" max="13059" width="4.57421875" style="3" customWidth="1"/>
    <col min="13060" max="13060" width="11.28125" style="3" customWidth="1"/>
    <col min="13061" max="13061" width="52.7109375" style="3" customWidth="1"/>
    <col min="13062" max="13062" width="3.57421875" style="3" bestFit="1" customWidth="1"/>
    <col min="13063" max="13063" width="8.00390625" style="3" customWidth="1"/>
    <col min="13064" max="13064" width="9.7109375" style="3" customWidth="1"/>
    <col min="13065" max="13065" width="15.00390625" style="3" customWidth="1"/>
    <col min="13066" max="13066" width="15.57421875" style="3" customWidth="1"/>
    <col min="13067" max="13067" width="21.7109375" style="3" customWidth="1"/>
    <col min="13068" max="13069" width="8.140625" style="3" customWidth="1"/>
    <col min="13070" max="13070" width="18.00390625" style="3" customWidth="1"/>
    <col min="13071" max="13071" width="9.140625" style="3" customWidth="1"/>
    <col min="13072" max="13072" width="14.7109375" style="3" customWidth="1"/>
    <col min="13073" max="13313" width="9.140625" style="3" customWidth="1"/>
    <col min="13314" max="13314" width="0.71875" style="3" customWidth="1"/>
    <col min="13315" max="13315" width="4.57421875" style="3" customWidth="1"/>
    <col min="13316" max="13316" width="11.28125" style="3" customWidth="1"/>
    <col min="13317" max="13317" width="52.7109375" style="3" customWidth="1"/>
    <col min="13318" max="13318" width="3.57421875" style="3" bestFit="1" customWidth="1"/>
    <col min="13319" max="13319" width="8.00390625" style="3" customWidth="1"/>
    <col min="13320" max="13320" width="9.7109375" style="3" customWidth="1"/>
    <col min="13321" max="13321" width="15.00390625" style="3" customWidth="1"/>
    <col min="13322" max="13322" width="15.57421875" style="3" customWidth="1"/>
    <col min="13323" max="13323" width="21.7109375" style="3" customWidth="1"/>
    <col min="13324" max="13325" width="8.140625" style="3" customWidth="1"/>
    <col min="13326" max="13326" width="18.00390625" style="3" customWidth="1"/>
    <col min="13327" max="13327" width="9.140625" style="3" customWidth="1"/>
    <col min="13328" max="13328" width="14.7109375" style="3" customWidth="1"/>
    <col min="13329" max="13569" width="9.140625" style="3" customWidth="1"/>
    <col min="13570" max="13570" width="0.71875" style="3" customWidth="1"/>
    <col min="13571" max="13571" width="4.57421875" style="3" customWidth="1"/>
    <col min="13572" max="13572" width="11.28125" style="3" customWidth="1"/>
    <col min="13573" max="13573" width="52.7109375" style="3" customWidth="1"/>
    <col min="13574" max="13574" width="3.57421875" style="3" bestFit="1" customWidth="1"/>
    <col min="13575" max="13575" width="8.00390625" style="3" customWidth="1"/>
    <col min="13576" max="13576" width="9.7109375" style="3" customWidth="1"/>
    <col min="13577" max="13577" width="15.00390625" style="3" customWidth="1"/>
    <col min="13578" max="13578" width="15.57421875" style="3" customWidth="1"/>
    <col min="13579" max="13579" width="21.7109375" style="3" customWidth="1"/>
    <col min="13580" max="13581" width="8.140625" style="3" customWidth="1"/>
    <col min="13582" max="13582" width="18.00390625" style="3" customWidth="1"/>
    <col min="13583" max="13583" width="9.140625" style="3" customWidth="1"/>
    <col min="13584" max="13584" width="14.7109375" style="3" customWidth="1"/>
    <col min="13585" max="13825" width="9.140625" style="3" customWidth="1"/>
    <col min="13826" max="13826" width="0.71875" style="3" customWidth="1"/>
    <col min="13827" max="13827" width="4.57421875" style="3" customWidth="1"/>
    <col min="13828" max="13828" width="11.28125" style="3" customWidth="1"/>
    <col min="13829" max="13829" width="52.7109375" style="3" customWidth="1"/>
    <col min="13830" max="13830" width="3.57421875" style="3" bestFit="1" customWidth="1"/>
    <col min="13831" max="13831" width="8.00390625" style="3" customWidth="1"/>
    <col min="13832" max="13832" width="9.7109375" style="3" customWidth="1"/>
    <col min="13833" max="13833" width="15.00390625" style="3" customWidth="1"/>
    <col min="13834" max="13834" width="15.57421875" style="3" customWidth="1"/>
    <col min="13835" max="13835" width="21.7109375" style="3" customWidth="1"/>
    <col min="13836" max="13837" width="8.140625" style="3" customWidth="1"/>
    <col min="13838" max="13838" width="18.00390625" style="3" customWidth="1"/>
    <col min="13839" max="13839" width="9.140625" style="3" customWidth="1"/>
    <col min="13840" max="13840" width="14.7109375" style="3" customWidth="1"/>
    <col min="13841" max="14081" width="9.140625" style="3" customWidth="1"/>
    <col min="14082" max="14082" width="0.71875" style="3" customWidth="1"/>
    <col min="14083" max="14083" width="4.57421875" style="3" customWidth="1"/>
    <col min="14084" max="14084" width="11.28125" style="3" customWidth="1"/>
    <col min="14085" max="14085" width="52.7109375" style="3" customWidth="1"/>
    <col min="14086" max="14086" width="3.57421875" style="3" bestFit="1" customWidth="1"/>
    <col min="14087" max="14087" width="8.00390625" style="3" customWidth="1"/>
    <col min="14088" max="14088" width="9.7109375" style="3" customWidth="1"/>
    <col min="14089" max="14089" width="15.00390625" style="3" customWidth="1"/>
    <col min="14090" max="14090" width="15.57421875" style="3" customWidth="1"/>
    <col min="14091" max="14091" width="21.7109375" style="3" customWidth="1"/>
    <col min="14092" max="14093" width="8.140625" style="3" customWidth="1"/>
    <col min="14094" max="14094" width="18.00390625" style="3" customWidth="1"/>
    <col min="14095" max="14095" width="9.140625" style="3" customWidth="1"/>
    <col min="14096" max="14096" width="14.7109375" style="3" customWidth="1"/>
    <col min="14097" max="14337" width="9.140625" style="3" customWidth="1"/>
    <col min="14338" max="14338" width="0.71875" style="3" customWidth="1"/>
    <col min="14339" max="14339" width="4.57421875" style="3" customWidth="1"/>
    <col min="14340" max="14340" width="11.28125" style="3" customWidth="1"/>
    <col min="14341" max="14341" width="52.7109375" style="3" customWidth="1"/>
    <col min="14342" max="14342" width="3.57421875" style="3" bestFit="1" customWidth="1"/>
    <col min="14343" max="14343" width="8.00390625" style="3" customWidth="1"/>
    <col min="14344" max="14344" width="9.7109375" style="3" customWidth="1"/>
    <col min="14345" max="14345" width="15.00390625" style="3" customWidth="1"/>
    <col min="14346" max="14346" width="15.57421875" style="3" customWidth="1"/>
    <col min="14347" max="14347" width="21.7109375" style="3" customWidth="1"/>
    <col min="14348" max="14349" width="8.140625" style="3" customWidth="1"/>
    <col min="14350" max="14350" width="18.00390625" style="3" customWidth="1"/>
    <col min="14351" max="14351" width="9.140625" style="3" customWidth="1"/>
    <col min="14352" max="14352" width="14.7109375" style="3" customWidth="1"/>
    <col min="14353" max="14593" width="9.140625" style="3" customWidth="1"/>
    <col min="14594" max="14594" width="0.71875" style="3" customWidth="1"/>
    <col min="14595" max="14595" width="4.57421875" style="3" customWidth="1"/>
    <col min="14596" max="14596" width="11.28125" style="3" customWidth="1"/>
    <col min="14597" max="14597" width="52.7109375" style="3" customWidth="1"/>
    <col min="14598" max="14598" width="3.57421875" style="3" bestFit="1" customWidth="1"/>
    <col min="14599" max="14599" width="8.00390625" style="3" customWidth="1"/>
    <col min="14600" max="14600" width="9.7109375" style="3" customWidth="1"/>
    <col min="14601" max="14601" width="15.00390625" style="3" customWidth="1"/>
    <col min="14602" max="14602" width="15.57421875" style="3" customWidth="1"/>
    <col min="14603" max="14603" width="21.7109375" style="3" customWidth="1"/>
    <col min="14604" max="14605" width="8.140625" style="3" customWidth="1"/>
    <col min="14606" max="14606" width="18.00390625" style="3" customWidth="1"/>
    <col min="14607" max="14607" width="9.140625" style="3" customWidth="1"/>
    <col min="14608" max="14608" width="14.7109375" style="3" customWidth="1"/>
    <col min="14609" max="14849" width="9.140625" style="3" customWidth="1"/>
    <col min="14850" max="14850" width="0.71875" style="3" customWidth="1"/>
    <col min="14851" max="14851" width="4.57421875" style="3" customWidth="1"/>
    <col min="14852" max="14852" width="11.28125" style="3" customWidth="1"/>
    <col min="14853" max="14853" width="52.7109375" style="3" customWidth="1"/>
    <col min="14854" max="14854" width="3.57421875" style="3" bestFit="1" customWidth="1"/>
    <col min="14855" max="14855" width="8.00390625" style="3" customWidth="1"/>
    <col min="14856" max="14856" width="9.7109375" style="3" customWidth="1"/>
    <col min="14857" max="14857" width="15.00390625" style="3" customWidth="1"/>
    <col min="14858" max="14858" width="15.57421875" style="3" customWidth="1"/>
    <col min="14859" max="14859" width="21.7109375" style="3" customWidth="1"/>
    <col min="14860" max="14861" width="8.140625" style="3" customWidth="1"/>
    <col min="14862" max="14862" width="18.00390625" style="3" customWidth="1"/>
    <col min="14863" max="14863" width="9.140625" style="3" customWidth="1"/>
    <col min="14864" max="14864" width="14.7109375" style="3" customWidth="1"/>
    <col min="14865" max="15105" width="9.140625" style="3" customWidth="1"/>
    <col min="15106" max="15106" width="0.71875" style="3" customWidth="1"/>
    <col min="15107" max="15107" width="4.57421875" style="3" customWidth="1"/>
    <col min="15108" max="15108" width="11.28125" style="3" customWidth="1"/>
    <col min="15109" max="15109" width="52.7109375" style="3" customWidth="1"/>
    <col min="15110" max="15110" width="3.57421875" style="3" bestFit="1" customWidth="1"/>
    <col min="15111" max="15111" width="8.00390625" style="3" customWidth="1"/>
    <col min="15112" max="15112" width="9.7109375" style="3" customWidth="1"/>
    <col min="15113" max="15113" width="15.00390625" style="3" customWidth="1"/>
    <col min="15114" max="15114" width="15.57421875" style="3" customWidth="1"/>
    <col min="15115" max="15115" width="21.7109375" style="3" customWidth="1"/>
    <col min="15116" max="15117" width="8.140625" style="3" customWidth="1"/>
    <col min="15118" max="15118" width="18.00390625" style="3" customWidth="1"/>
    <col min="15119" max="15119" width="9.140625" style="3" customWidth="1"/>
    <col min="15120" max="15120" width="14.7109375" style="3" customWidth="1"/>
    <col min="15121" max="15361" width="9.140625" style="3" customWidth="1"/>
    <col min="15362" max="15362" width="0.71875" style="3" customWidth="1"/>
    <col min="15363" max="15363" width="4.57421875" style="3" customWidth="1"/>
    <col min="15364" max="15364" width="11.28125" style="3" customWidth="1"/>
    <col min="15365" max="15365" width="52.7109375" style="3" customWidth="1"/>
    <col min="15366" max="15366" width="3.57421875" style="3" bestFit="1" customWidth="1"/>
    <col min="15367" max="15367" width="8.00390625" style="3" customWidth="1"/>
    <col min="15368" max="15368" width="9.7109375" style="3" customWidth="1"/>
    <col min="15369" max="15369" width="15.00390625" style="3" customWidth="1"/>
    <col min="15370" max="15370" width="15.57421875" style="3" customWidth="1"/>
    <col min="15371" max="15371" width="21.7109375" style="3" customWidth="1"/>
    <col min="15372" max="15373" width="8.140625" style="3" customWidth="1"/>
    <col min="15374" max="15374" width="18.00390625" style="3" customWidth="1"/>
    <col min="15375" max="15375" width="9.140625" style="3" customWidth="1"/>
    <col min="15376" max="15376" width="14.7109375" style="3" customWidth="1"/>
    <col min="15377" max="15617" width="9.140625" style="3" customWidth="1"/>
    <col min="15618" max="15618" width="0.71875" style="3" customWidth="1"/>
    <col min="15619" max="15619" width="4.57421875" style="3" customWidth="1"/>
    <col min="15620" max="15620" width="11.28125" style="3" customWidth="1"/>
    <col min="15621" max="15621" width="52.7109375" style="3" customWidth="1"/>
    <col min="15622" max="15622" width="3.57421875" style="3" bestFit="1" customWidth="1"/>
    <col min="15623" max="15623" width="8.00390625" style="3" customWidth="1"/>
    <col min="15624" max="15624" width="9.7109375" style="3" customWidth="1"/>
    <col min="15625" max="15625" width="15.00390625" style="3" customWidth="1"/>
    <col min="15626" max="15626" width="15.57421875" style="3" customWidth="1"/>
    <col min="15627" max="15627" width="21.7109375" style="3" customWidth="1"/>
    <col min="15628" max="15629" width="8.140625" style="3" customWidth="1"/>
    <col min="15630" max="15630" width="18.00390625" style="3" customWidth="1"/>
    <col min="15631" max="15631" width="9.140625" style="3" customWidth="1"/>
    <col min="15632" max="15632" width="14.7109375" style="3" customWidth="1"/>
    <col min="15633" max="15873" width="9.140625" style="3" customWidth="1"/>
    <col min="15874" max="15874" width="0.71875" style="3" customWidth="1"/>
    <col min="15875" max="15875" width="4.57421875" style="3" customWidth="1"/>
    <col min="15876" max="15876" width="11.28125" style="3" customWidth="1"/>
    <col min="15877" max="15877" width="52.7109375" style="3" customWidth="1"/>
    <col min="15878" max="15878" width="3.57421875" style="3" bestFit="1" customWidth="1"/>
    <col min="15879" max="15879" width="8.00390625" style="3" customWidth="1"/>
    <col min="15880" max="15880" width="9.7109375" style="3" customWidth="1"/>
    <col min="15881" max="15881" width="15.00390625" style="3" customWidth="1"/>
    <col min="15882" max="15882" width="15.57421875" style="3" customWidth="1"/>
    <col min="15883" max="15883" width="21.7109375" style="3" customWidth="1"/>
    <col min="15884" max="15885" width="8.140625" style="3" customWidth="1"/>
    <col min="15886" max="15886" width="18.00390625" style="3" customWidth="1"/>
    <col min="15887" max="15887" width="9.140625" style="3" customWidth="1"/>
    <col min="15888" max="15888" width="14.7109375" style="3" customWidth="1"/>
    <col min="15889" max="16129" width="9.140625" style="3" customWidth="1"/>
    <col min="16130" max="16130" width="0.71875" style="3" customWidth="1"/>
    <col min="16131" max="16131" width="4.57421875" style="3" customWidth="1"/>
    <col min="16132" max="16132" width="11.28125" style="3" customWidth="1"/>
    <col min="16133" max="16133" width="52.7109375" style="3" customWidth="1"/>
    <col min="16134" max="16134" width="3.57421875" style="3" bestFit="1" customWidth="1"/>
    <col min="16135" max="16135" width="8.00390625" style="3" customWidth="1"/>
    <col min="16136" max="16136" width="9.7109375" style="3" customWidth="1"/>
    <col min="16137" max="16137" width="15.00390625" style="3" customWidth="1"/>
    <col min="16138" max="16138" width="15.57421875" style="3" customWidth="1"/>
    <col min="16139" max="16139" width="21.7109375" style="3" customWidth="1"/>
    <col min="16140" max="16141" width="8.140625" style="3" customWidth="1"/>
    <col min="16142" max="16142" width="18.00390625" style="3" customWidth="1"/>
    <col min="16143" max="16143" width="9.140625" style="3" customWidth="1"/>
    <col min="16144" max="16144" width="14.7109375" style="3" customWidth="1"/>
    <col min="16145" max="16384" width="9.140625" style="3" customWidth="1"/>
  </cols>
  <sheetData>
    <row r="1" spans="2:9" ht="18">
      <c r="B1" s="149" t="s">
        <v>74</v>
      </c>
      <c r="C1" s="149"/>
      <c r="D1" s="149"/>
      <c r="E1" s="149"/>
      <c r="F1" s="149"/>
      <c r="G1" s="149"/>
      <c r="H1" s="149"/>
      <c r="I1" s="134"/>
    </row>
    <row r="2" spans="2:9" ht="18">
      <c r="B2" s="149" t="s">
        <v>229</v>
      </c>
      <c r="C2" s="149"/>
      <c r="D2" s="149"/>
      <c r="E2" s="149"/>
      <c r="F2" s="149"/>
      <c r="G2" s="149"/>
      <c r="H2" s="149"/>
      <c r="I2" s="134"/>
    </row>
    <row r="3" spans="2:9" ht="18">
      <c r="B3" s="134"/>
      <c r="C3" s="134"/>
      <c r="D3" s="148" t="s">
        <v>231</v>
      </c>
      <c r="E3" s="83"/>
      <c r="F3" s="83"/>
      <c r="G3" s="83"/>
      <c r="H3" s="134"/>
      <c r="I3" s="134"/>
    </row>
    <row r="4" ht="12.75">
      <c r="B4" s="12"/>
    </row>
    <row r="5" spans="2:3" ht="12.75">
      <c r="B5" s="12" t="s">
        <v>12</v>
      </c>
      <c r="C5" s="1"/>
    </row>
    <row r="6" spans="2:3" ht="12.75">
      <c r="B6" s="12" t="s">
        <v>75</v>
      </c>
      <c r="C6" s="1"/>
    </row>
    <row r="7" spans="2:3" ht="12.75">
      <c r="B7" s="12"/>
      <c r="C7" s="1"/>
    </row>
    <row r="8" spans="2:3" ht="12.75">
      <c r="B8" s="12"/>
      <c r="C8" s="1"/>
    </row>
    <row r="9" spans="2:17" s="19" customFormat="1" ht="18">
      <c r="B9" s="20"/>
      <c r="C9" s="21"/>
      <c r="D9" s="22" t="s">
        <v>73</v>
      </c>
      <c r="E9" s="23"/>
      <c r="F9" s="24"/>
      <c r="G9" s="150"/>
      <c r="H9" s="150"/>
      <c r="I9" s="135"/>
      <c r="J9" s="63"/>
      <c r="K9" s="56"/>
      <c r="L9" s="53"/>
      <c r="M9" s="21"/>
      <c r="N9" s="25"/>
      <c r="O9" s="43"/>
      <c r="Q9" s="25"/>
    </row>
    <row r="10" spans="4:14" ht="12.75">
      <c r="D10" s="15" t="str">
        <f>+B1</f>
        <v>NÁHRADNÍ VÝSADBY DŘEVIN - PODZIM 2017</v>
      </c>
      <c r="J10" s="64"/>
      <c r="M10" s="4"/>
      <c r="N10" s="39"/>
    </row>
    <row r="11" spans="10:14" ht="12.75">
      <c r="J11" s="64"/>
      <c r="K11" s="54"/>
      <c r="L11" s="54"/>
      <c r="M11" s="4"/>
      <c r="N11" s="39"/>
    </row>
    <row r="12" spans="4:14" ht="12.75">
      <c r="D12" s="15" t="str">
        <f>+D62</f>
        <v>Celkem za odstranění nevhodných dřevin bez DPH</v>
      </c>
      <c r="E12" s="16"/>
      <c r="F12" s="17"/>
      <c r="G12" s="68"/>
      <c r="H12" s="18">
        <f>+H62</f>
        <v>0</v>
      </c>
      <c r="I12" s="121"/>
      <c r="M12" s="4"/>
      <c r="N12" s="39"/>
    </row>
    <row r="13" spans="4:14" ht="12.75">
      <c r="D13" s="15" t="str">
        <f>+D68</f>
        <v>Celkem za řezy stromů bez DPH</v>
      </c>
      <c r="E13" s="16"/>
      <c r="F13" s="17"/>
      <c r="G13" s="68"/>
      <c r="H13" s="18">
        <f>+H68</f>
        <v>0</v>
      </c>
      <c r="I13" s="121"/>
      <c r="M13" s="4"/>
      <c r="N13" s="39"/>
    </row>
    <row r="14" spans="4:14" ht="12.75">
      <c r="D14" s="15" t="str">
        <f>D125</f>
        <v>Celkem za výsadbu stromů a keřů včetně materiálu bez DPH</v>
      </c>
      <c r="E14" s="16"/>
      <c r="F14" s="17"/>
      <c r="G14" s="68"/>
      <c r="H14" s="18">
        <f>+H125</f>
        <v>0</v>
      </c>
      <c r="I14" s="121"/>
      <c r="M14" s="4"/>
      <c r="N14" s="39"/>
    </row>
    <row r="15" spans="4:14" ht="12.75">
      <c r="D15" s="15" t="str">
        <f>+D139</f>
        <v>Celkem za založení trávníku včetně materiálu bez DPH</v>
      </c>
      <c r="E15" s="16"/>
      <c r="F15" s="17"/>
      <c r="G15" s="68"/>
      <c r="H15" s="18">
        <f>+H139</f>
        <v>0</v>
      </c>
      <c r="I15" s="121"/>
      <c r="M15" s="4"/>
      <c r="N15" s="39"/>
    </row>
    <row r="16" spans="4:14" ht="12.75">
      <c r="D16" s="15" t="str">
        <f>+D156</f>
        <v>Celkem za následnou péči po dobu 1. roku bez DPH</v>
      </c>
      <c r="E16" s="16"/>
      <c r="F16" s="17"/>
      <c r="G16" s="68"/>
      <c r="H16" s="18">
        <f>+H156</f>
        <v>0</v>
      </c>
      <c r="I16" s="121"/>
      <c r="M16" s="4"/>
      <c r="N16" s="39"/>
    </row>
    <row r="17" spans="4:14" ht="12.75">
      <c r="D17" s="15" t="str">
        <f>+D183</f>
        <v>Celkem za následnou péči po dobu 2. roku bez DPH</v>
      </c>
      <c r="E17" s="16"/>
      <c r="F17" s="17"/>
      <c r="G17" s="68"/>
      <c r="H17" s="18">
        <f>+H183</f>
        <v>0</v>
      </c>
      <c r="I17" s="121"/>
      <c r="M17" s="4"/>
      <c r="N17" s="39"/>
    </row>
    <row r="18" spans="4:14" ht="12.75">
      <c r="D18" s="15" t="str">
        <f>+D191</f>
        <v>Celkem za následnou péči po dobu 3. roku bez DPH</v>
      </c>
      <c r="E18" s="16"/>
      <c r="F18" s="17"/>
      <c r="G18" s="68"/>
      <c r="H18" s="18">
        <f>+H191</f>
        <v>0</v>
      </c>
      <c r="I18" s="121"/>
      <c r="M18" s="4"/>
      <c r="N18" s="39"/>
    </row>
    <row r="19" spans="4:14" ht="12.75">
      <c r="D19" s="15"/>
      <c r="E19" s="16"/>
      <c r="F19" s="17"/>
      <c r="G19" s="68"/>
      <c r="H19" s="18"/>
      <c r="I19" s="121"/>
      <c r="K19" s="55"/>
      <c r="M19" s="4"/>
      <c r="N19" s="39"/>
    </row>
    <row r="20" spans="2:17" s="19" customFormat="1" ht="18">
      <c r="B20" s="20"/>
      <c r="C20" s="21"/>
      <c r="D20" s="22" t="s">
        <v>13</v>
      </c>
      <c r="E20" s="23"/>
      <c r="F20" s="24"/>
      <c r="G20" s="150">
        <f>SUM(H12:H18)</f>
        <v>0</v>
      </c>
      <c r="H20" s="150"/>
      <c r="I20" s="135"/>
      <c r="J20" s="63"/>
      <c r="K20" s="56"/>
      <c r="L20" s="53"/>
      <c r="M20" s="21"/>
      <c r="N20" s="25"/>
      <c r="O20" s="43"/>
      <c r="Q20" s="25"/>
    </row>
    <row r="21" spans="4:14" ht="12.75">
      <c r="D21" s="15" t="s">
        <v>37</v>
      </c>
      <c r="E21" s="16"/>
      <c r="F21" s="17"/>
      <c r="G21" s="1"/>
      <c r="H21" s="18">
        <f>+G20*0.21</f>
        <v>0</v>
      </c>
      <c r="I21" s="121"/>
      <c r="M21" s="4"/>
      <c r="N21" s="39"/>
    </row>
    <row r="22" spans="4:14" ht="12.75">
      <c r="D22" s="15" t="s">
        <v>36</v>
      </c>
      <c r="E22" s="16"/>
      <c r="F22" s="17"/>
      <c r="G22" s="1"/>
      <c r="H22" s="18">
        <f>+G20+H21</f>
        <v>0</v>
      </c>
      <c r="I22" s="121"/>
      <c r="M22" s="4"/>
      <c r="N22" s="39"/>
    </row>
    <row r="23" spans="2:17" s="19" customFormat="1" ht="18">
      <c r="B23" s="20"/>
      <c r="C23" s="21"/>
      <c r="D23" s="22"/>
      <c r="E23" s="23"/>
      <c r="F23" s="24"/>
      <c r="G23" s="84"/>
      <c r="H23" s="135"/>
      <c r="I23" s="135"/>
      <c r="J23" s="63"/>
      <c r="K23" s="57"/>
      <c r="L23" s="53"/>
      <c r="M23" s="21"/>
      <c r="N23" s="25"/>
      <c r="O23" s="43"/>
      <c r="Q23" s="25"/>
    </row>
    <row r="24" spans="3:17" ht="12.75">
      <c r="C24" s="85"/>
      <c r="D24" s="15"/>
      <c r="E24" s="16"/>
      <c r="F24" s="17"/>
      <c r="G24" s="68"/>
      <c r="H24" s="26"/>
      <c r="I24" s="71"/>
      <c r="J24" s="3"/>
      <c r="K24" s="15"/>
      <c r="L24" s="3"/>
      <c r="M24" s="4"/>
      <c r="N24" s="3"/>
      <c r="O24" s="3"/>
      <c r="Q24" s="3"/>
    </row>
    <row r="25" spans="2:17" ht="13.5" thickBot="1">
      <c r="B25" s="1" t="s">
        <v>3</v>
      </c>
      <c r="C25" s="2" t="s">
        <v>67</v>
      </c>
      <c r="E25" s="1" t="s">
        <v>4</v>
      </c>
      <c r="F25" s="13" t="s">
        <v>5</v>
      </c>
      <c r="G25" s="62" t="s">
        <v>6</v>
      </c>
      <c r="H25" s="14" t="s">
        <v>7</v>
      </c>
      <c r="I25" s="4"/>
      <c r="J25" s="86"/>
      <c r="K25" s="81"/>
      <c r="L25" s="3"/>
      <c r="M25" s="4"/>
      <c r="N25" s="3"/>
      <c r="O25" s="3"/>
      <c r="Q25" s="3"/>
    </row>
    <row r="26" spans="2:12" s="29" customFormat="1" ht="25.5">
      <c r="B26" s="5">
        <v>1</v>
      </c>
      <c r="C26" s="87" t="s">
        <v>150</v>
      </c>
      <c r="D26" s="88" t="s">
        <v>149</v>
      </c>
      <c r="E26" s="32" t="s">
        <v>0</v>
      </c>
      <c r="F26" s="138">
        <v>24</v>
      </c>
      <c r="G26" s="139"/>
      <c r="H26" s="33">
        <f aca="true" t="shared" si="0" ref="H26">+F26*G26</f>
        <v>0</v>
      </c>
      <c r="I26" s="71"/>
      <c r="K26" s="91"/>
      <c r="L26" s="92"/>
    </row>
    <row r="27" spans="2:12" s="29" customFormat="1" ht="25.5">
      <c r="B27" s="7">
        <v>2</v>
      </c>
      <c r="C27" s="93" t="s">
        <v>44</v>
      </c>
      <c r="D27" s="9" t="s">
        <v>127</v>
      </c>
      <c r="E27" s="47" t="s">
        <v>0</v>
      </c>
      <c r="F27" s="67">
        <v>24</v>
      </c>
      <c r="G27" s="140"/>
      <c r="H27" s="10">
        <f aca="true" t="shared" si="1" ref="H27:H37">+F27*G27</f>
        <v>0</v>
      </c>
      <c r="I27" s="71"/>
      <c r="K27" s="91"/>
      <c r="L27" s="92"/>
    </row>
    <row r="28" spans="2:12" s="29" customFormat="1" ht="38.25">
      <c r="B28" s="7">
        <v>3</v>
      </c>
      <c r="C28" s="93" t="s">
        <v>44</v>
      </c>
      <c r="D28" s="9" t="s">
        <v>144</v>
      </c>
      <c r="E28" s="47" t="s">
        <v>0</v>
      </c>
      <c r="F28" s="67">
        <v>53</v>
      </c>
      <c r="G28" s="140"/>
      <c r="H28" s="10">
        <f t="shared" si="1"/>
        <v>0</v>
      </c>
      <c r="I28" s="71"/>
      <c r="K28" s="91"/>
      <c r="L28" s="92"/>
    </row>
    <row r="29" spans="2:12" s="29" customFormat="1" ht="25.5">
      <c r="B29" s="7">
        <v>4</v>
      </c>
      <c r="C29" s="93" t="s">
        <v>142</v>
      </c>
      <c r="D29" s="9" t="s">
        <v>143</v>
      </c>
      <c r="E29" s="47" t="s">
        <v>1</v>
      </c>
      <c r="F29" s="67">
        <v>3</v>
      </c>
      <c r="G29" s="140"/>
      <c r="H29" s="10">
        <f t="shared" si="1"/>
        <v>0</v>
      </c>
      <c r="I29" s="71"/>
      <c r="K29" s="91"/>
      <c r="L29" s="92"/>
    </row>
    <row r="30" spans="2:12" s="29" customFormat="1" ht="25.5">
      <c r="B30" s="7">
        <v>5</v>
      </c>
      <c r="C30" s="93" t="s">
        <v>139</v>
      </c>
      <c r="D30" s="9" t="s">
        <v>140</v>
      </c>
      <c r="E30" s="47" t="s">
        <v>1</v>
      </c>
      <c r="F30" s="67">
        <v>8</v>
      </c>
      <c r="G30" s="140"/>
      <c r="H30" s="10">
        <f aca="true" t="shared" si="2" ref="H30">+F30*G30</f>
        <v>0</v>
      </c>
      <c r="I30" s="71"/>
      <c r="K30" s="91"/>
      <c r="L30" s="92"/>
    </row>
    <row r="31" spans="2:12" s="29" customFormat="1" ht="25.5">
      <c r="B31" s="7">
        <v>6</v>
      </c>
      <c r="C31" s="93" t="s">
        <v>72</v>
      </c>
      <c r="D31" s="9" t="s">
        <v>141</v>
      </c>
      <c r="E31" s="47" t="s">
        <v>1</v>
      </c>
      <c r="F31" s="67">
        <v>5</v>
      </c>
      <c r="G31" s="140"/>
      <c r="H31" s="10">
        <f aca="true" t="shared" si="3" ref="H31">+F31*G31</f>
        <v>0</v>
      </c>
      <c r="I31" s="71"/>
      <c r="K31" s="91"/>
      <c r="L31" s="92"/>
    </row>
    <row r="32" spans="2:12" s="29" customFormat="1" ht="25.5">
      <c r="B32" s="7">
        <v>7</v>
      </c>
      <c r="C32" s="93" t="s">
        <v>137</v>
      </c>
      <c r="D32" s="9" t="s">
        <v>138</v>
      </c>
      <c r="E32" s="47" t="s">
        <v>1</v>
      </c>
      <c r="F32" s="67">
        <v>1</v>
      </c>
      <c r="G32" s="140"/>
      <c r="H32" s="10">
        <f aca="true" t="shared" si="4" ref="H32">+F32*G32</f>
        <v>0</v>
      </c>
      <c r="I32" s="71"/>
      <c r="K32" s="91"/>
      <c r="L32" s="92"/>
    </row>
    <row r="33" spans="2:12" s="29" customFormat="1" ht="25.5">
      <c r="B33" s="7">
        <v>8</v>
      </c>
      <c r="C33" s="93" t="s">
        <v>135</v>
      </c>
      <c r="D33" s="9" t="s">
        <v>136</v>
      </c>
      <c r="E33" s="47" t="s">
        <v>1</v>
      </c>
      <c r="F33" s="67">
        <v>2</v>
      </c>
      <c r="G33" s="140"/>
      <c r="H33" s="10">
        <f aca="true" t="shared" si="5" ref="H33">+F33*G33</f>
        <v>0</v>
      </c>
      <c r="I33" s="71"/>
      <c r="K33" s="91"/>
      <c r="L33" s="92"/>
    </row>
    <row r="34" spans="2:12" s="29" customFormat="1" ht="25.5">
      <c r="B34" s="7">
        <v>9</v>
      </c>
      <c r="C34" s="93" t="s">
        <v>134</v>
      </c>
      <c r="D34" s="9" t="s">
        <v>224</v>
      </c>
      <c r="E34" s="47" t="s">
        <v>1</v>
      </c>
      <c r="F34" s="67">
        <v>2</v>
      </c>
      <c r="G34" s="140"/>
      <c r="H34" s="10">
        <f aca="true" t="shared" si="6" ref="H34">+F34*G34</f>
        <v>0</v>
      </c>
      <c r="I34" s="71"/>
      <c r="K34" s="91"/>
      <c r="L34" s="92"/>
    </row>
    <row r="35" spans="2:12" s="29" customFormat="1" ht="25.5">
      <c r="B35" s="7">
        <v>10</v>
      </c>
      <c r="C35" s="93" t="s">
        <v>133</v>
      </c>
      <c r="D35" s="9" t="s">
        <v>132</v>
      </c>
      <c r="E35" s="47" t="s">
        <v>1</v>
      </c>
      <c r="F35" s="67">
        <v>1</v>
      </c>
      <c r="G35" s="140"/>
      <c r="H35" s="10">
        <f aca="true" t="shared" si="7" ref="H35">+F35*G35</f>
        <v>0</v>
      </c>
      <c r="I35" s="71"/>
      <c r="K35" s="91"/>
      <c r="L35" s="92"/>
    </row>
    <row r="36" spans="2:12" s="29" customFormat="1" ht="25.5">
      <c r="B36" s="7">
        <v>11</v>
      </c>
      <c r="C36" s="93" t="s">
        <v>131</v>
      </c>
      <c r="D36" s="9" t="s">
        <v>130</v>
      </c>
      <c r="E36" s="47" t="s">
        <v>1</v>
      </c>
      <c r="F36" s="67">
        <v>1</v>
      </c>
      <c r="G36" s="140"/>
      <c r="H36" s="10">
        <f t="shared" si="1"/>
        <v>0</v>
      </c>
      <c r="I36" s="71"/>
      <c r="K36" s="91"/>
      <c r="L36" s="92"/>
    </row>
    <row r="37" spans="2:12" s="29" customFormat="1" ht="25.5">
      <c r="B37" s="7">
        <v>12</v>
      </c>
      <c r="C37" s="93" t="s">
        <v>223</v>
      </c>
      <c r="D37" s="9" t="s">
        <v>222</v>
      </c>
      <c r="E37" s="47" t="s">
        <v>1</v>
      </c>
      <c r="F37" s="67">
        <v>1</v>
      </c>
      <c r="G37" s="140"/>
      <c r="H37" s="10">
        <f t="shared" si="1"/>
        <v>0</v>
      </c>
      <c r="I37" s="129"/>
      <c r="K37" s="91"/>
      <c r="L37" s="92"/>
    </row>
    <row r="38" spans="2:12" s="29" customFormat="1" ht="25.5">
      <c r="B38" s="7">
        <v>13</v>
      </c>
      <c r="C38" s="93" t="s">
        <v>128</v>
      </c>
      <c r="D38" s="9" t="s">
        <v>129</v>
      </c>
      <c r="E38" s="47" t="s">
        <v>1</v>
      </c>
      <c r="F38" s="67">
        <v>1</v>
      </c>
      <c r="G38" s="140"/>
      <c r="H38" s="10">
        <f aca="true" t="shared" si="8" ref="H38:H39">+F38*G38</f>
        <v>0</v>
      </c>
      <c r="I38" s="129"/>
      <c r="K38" s="91"/>
      <c r="L38" s="92"/>
    </row>
    <row r="39" spans="2:12" s="29" customFormat="1" ht="12.75">
      <c r="B39" s="7">
        <v>14</v>
      </c>
      <c r="C39" s="93" t="s">
        <v>151</v>
      </c>
      <c r="D39" s="9" t="s">
        <v>152</v>
      </c>
      <c r="E39" s="47" t="s">
        <v>1</v>
      </c>
      <c r="F39" s="70">
        <v>3</v>
      </c>
      <c r="G39" s="140"/>
      <c r="H39" s="10">
        <f t="shared" si="8"/>
        <v>0</v>
      </c>
      <c r="I39" s="71"/>
      <c r="K39" s="91"/>
      <c r="L39" s="92"/>
    </row>
    <row r="40" spans="2:12" s="29" customFormat="1" ht="12.75">
      <c r="B40" s="7">
        <v>15</v>
      </c>
      <c r="C40" s="93" t="s">
        <v>153</v>
      </c>
      <c r="D40" s="9" t="s">
        <v>154</v>
      </c>
      <c r="E40" s="47" t="s">
        <v>1</v>
      </c>
      <c r="F40" s="70">
        <f>3+1</f>
        <v>4</v>
      </c>
      <c r="G40" s="140"/>
      <c r="H40" s="10">
        <f aca="true" t="shared" si="9" ref="H40">+F40*G40</f>
        <v>0</v>
      </c>
      <c r="I40" s="71"/>
      <c r="K40" s="91"/>
      <c r="L40" s="92"/>
    </row>
    <row r="41" spans="2:12" s="29" customFormat="1" ht="12.75">
      <c r="B41" s="7">
        <v>16</v>
      </c>
      <c r="C41" s="93" t="s">
        <v>156</v>
      </c>
      <c r="D41" s="9" t="s">
        <v>155</v>
      </c>
      <c r="E41" s="47" t="s">
        <v>1</v>
      </c>
      <c r="F41" s="70">
        <v>1</v>
      </c>
      <c r="G41" s="140"/>
      <c r="H41" s="10">
        <f aca="true" t="shared" si="10" ref="H41">+F41*G41</f>
        <v>0</v>
      </c>
      <c r="I41" s="71"/>
      <c r="K41" s="91"/>
      <c r="L41" s="92"/>
    </row>
    <row r="42" spans="2:12" s="29" customFormat="1" ht="12.75">
      <c r="B42" s="7">
        <v>17</v>
      </c>
      <c r="C42" s="93" t="s">
        <v>157</v>
      </c>
      <c r="D42" s="9" t="s">
        <v>158</v>
      </c>
      <c r="E42" s="47" t="s">
        <v>1</v>
      </c>
      <c r="F42" s="70">
        <v>2</v>
      </c>
      <c r="G42" s="140"/>
      <c r="H42" s="10">
        <f aca="true" t="shared" si="11" ref="H42">+F42*G42</f>
        <v>0</v>
      </c>
      <c r="I42" s="71"/>
      <c r="K42" s="91"/>
      <c r="L42" s="92"/>
    </row>
    <row r="43" spans="2:12" s="29" customFormat="1" ht="12.75">
      <c r="B43" s="7">
        <v>18</v>
      </c>
      <c r="C43" s="93" t="s">
        <v>159</v>
      </c>
      <c r="D43" s="9" t="s">
        <v>160</v>
      </c>
      <c r="E43" s="47" t="s">
        <v>1</v>
      </c>
      <c r="F43" s="70">
        <f>5+4</f>
        <v>9</v>
      </c>
      <c r="G43" s="140"/>
      <c r="H43" s="10">
        <f aca="true" t="shared" si="12" ref="H43">+F43*G43</f>
        <v>0</v>
      </c>
      <c r="I43" s="71"/>
      <c r="K43" s="91"/>
      <c r="L43" s="92"/>
    </row>
    <row r="44" spans="2:12" s="29" customFormat="1" ht="12.75">
      <c r="B44" s="7">
        <v>19</v>
      </c>
      <c r="C44" s="93" t="s">
        <v>161</v>
      </c>
      <c r="D44" s="9" t="s">
        <v>162</v>
      </c>
      <c r="E44" s="47" t="s">
        <v>1</v>
      </c>
      <c r="F44" s="70">
        <v>4</v>
      </c>
      <c r="G44" s="140"/>
      <c r="H44" s="10">
        <f aca="true" t="shared" si="13" ref="H44">+F44*G44</f>
        <v>0</v>
      </c>
      <c r="I44" s="71"/>
      <c r="K44" s="91"/>
      <c r="L44" s="92"/>
    </row>
    <row r="45" spans="2:12" s="29" customFormat="1" ht="12.75">
      <c r="B45" s="7">
        <v>20</v>
      </c>
      <c r="C45" s="93" t="s">
        <v>68</v>
      </c>
      <c r="D45" s="9" t="s">
        <v>163</v>
      </c>
      <c r="E45" s="47" t="s">
        <v>1</v>
      </c>
      <c r="F45" s="70">
        <v>2</v>
      </c>
      <c r="G45" s="140"/>
      <c r="H45" s="10">
        <f aca="true" t="shared" si="14" ref="H45">+F45*G45</f>
        <v>0</v>
      </c>
      <c r="I45" s="71"/>
      <c r="K45" s="91"/>
      <c r="L45" s="92"/>
    </row>
    <row r="46" spans="2:12" s="29" customFormat="1" ht="12.75">
      <c r="B46" s="7">
        <v>21</v>
      </c>
      <c r="C46" s="93" t="s">
        <v>164</v>
      </c>
      <c r="D46" s="9" t="s">
        <v>165</v>
      </c>
      <c r="E46" s="47" t="s">
        <v>1</v>
      </c>
      <c r="F46" s="70">
        <v>2</v>
      </c>
      <c r="G46" s="140"/>
      <c r="H46" s="10">
        <f aca="true" t="shared" si="15" ref="H46">+F46*G46</f>
        <v>0</v>
      </c>
      <c r="I46" s="71"/>
      <c r="K46" s="91"/>
      <c r="L46" s="92"/>
    </row>
    <row r="47" spans="2:12" s="29" customFormat="1" ht="12.75">
      <c r="B47" s="7">
        <v>22</v>
      </c>
      <c r="C47" s="93" t="s">
        <v>164</v>
      </c>
      <c r="D47" s="9" t="s">
        <v>173</v>
      </c>
      <c r="E47" s="47" t="s">
        <v>1</v>
      </c>
      <c r="F47" s="70">
        <v>1</v>
      </c>
      <c r="G47" s="140"/>
      <c r="H47" s="10">
        <f aca="true" t="shared" si="16" ref="H47">+F47*G47</f>
        <v>0</v>
      </c>
      <c r="I47" s="71"/>
      <c r="K47" s="91"/>
      <c r="L47" s="92"/>
    </row>
    <row r="48" spans="2:12" s="29" customFormat="1" ht="12.75">
      <c r="B48" s="7">
        <v>23</v>
      </c>
      <c r="C48" s="93" t="s">
        <v>174</v>
      </c>
      <c r="D48" s="9" t="s">
        <v>175</v>
      </c>
      <c r="E48" s="47" t="s">
        <v>1</v>
      </c>
      <c r="F48" s="70">
        <v>16</v>
      </c>
      <c r="G48" s="140"/>
      <c r="H48" s="10">
        <f aca="true" t="shared" si="17" ref="H48">G48*F48</f>
        <v>0</v>
      </c>
      <c r="I48" s="71"/>
      <c r="K48" s="91"/>
      <c r="L48" s="92"/>
    </row>
    <row r="49" spans="2:12" s="29" customFormat="1" ht="12.75">
      <c r="B49" s="7">
        <v>24</v>
      </c>
      <c r="C49" s="93" t="s">
        <v>66</v>
      </c>
      <c r="D49" s="9" t="s">
        <v>176</v>
      </c>
      <c r="E49" s="47" t="s">
        <v>1</v>
      </c>
      <c r="F49" s="67">
        <v>3</v>
      </c>
      <c r="G49" s="140"/>
      <c r="H49" s="10">
        <f aca="true" t="shared" si="18" ref="H49">G49*F49</f>
        <v>0</v>
      </c>
      <c r="I49" s="71"/>
      <c r="K49" s="91"/>
      <c r="L49" s="92"/>
    </row>
    <row r="50" spans="2:12" s="29" customFormat="1" ht="12.75">
      <c r="B50" s="7">
        <v>25</v>
      </c>
      <c r="C50" s="93" t="s">
        <v>177</v>
      </c>
      <c r="D50" s="9" t="s">
        <v>178</v>
      </c>
      <c r="E50" s="47" t="s">
        <v>1</v>
      </c>
      <c r="F50" s="70">
        <v>4</v>
      </c>
      <c r="G50" s="140"/>
      <c r="H50" s="10">
        <f aca="true" t="shared" si="19" ref="H50:H51">G50*F50</f>
        <v>0</v>
      </c>
      <c r="I50" s="71"/>
      <c r="K50" s="91"/>
      <c r="L50" s="92"/>
    </row>
    <row r="51" spans="2:12" s="29" customFormat="1" ht="12.75">
      <c r="B51" s="7">
        <v>26</v>
      </c>
      <c r="C51" s="93" t="s">
        <v>180</v>
      </c>
      <c r="D51" s="9" t="s">
        <v>179</v>
      </c>
      <c r="E51" s="47" t="s">
        <v>1</v>
      </c>
      <c r="F51" s="70">
        <v>2</v>
      </c>
      <c r="G51" s="140"/>
      <c r="H51" s="10">
        <f t="shared" si="19"/>
        <v>0</v>
      </c>
      <c r="I51" s="71"/>
      <c r="K51" s="91"/>
      <c r="L51" s="92"/>
    </row>
    <row r="52" spans="2:12" s="29" customFormat="1" ht="25.5">
      <c r="B52" s="7">
        <v>27</v>
      </c>
      <c r="C52" s="93" t="s">
        <v>47</v>
      </c>
      <c r="D52" s="9" t="s">
        <v>181</v>
      </c>
      <c r="E52" s="47" t="s">
        <v>1</v>
      </c>
      <c r="F52" s="70">
        <v>0</v>
      </c>
      <c r="G52" s="67"/>
      <c r="H52" s="10">
        <f aca="true" t="shared" si="20" ref="H52:H58">G52*F52</f>
        <v>0</v>
      </c>
      <c r="I52" s="71"/>
      <c r="K52" s="91"/>
      <c r="L52" s="92"/>
    </row>
    <row r="53" spans="2:12" s="29" customFormat="1" ht="25.5">
      <c r="B53" s="7">
        <v>28</v>
      </c>
      <c r="C53" s="93" t="s">
        <v>166</v>
      </c>
      <c r="D53" s="9" t="s">
        <v>167</v>
      </c>
      <c r="E53" s="47" t="s">
        <v>1</v>
      </c>
      <c r="F53" s="70">
        <v>7</v>
      </c>
      <c r="G53" s="140"/>
      <c r="H53" s="10">
        <f aca="true" t="shared" si="21" ref="H53">G53*F53</f>
        <v>0</v>
      </c>
      <c r="I53" s="71"/>
      <c r="K53" s="91"/>
      <c r="L53" s="92"/>
    </row>
    <row r="54" spans="2:12" s="29" customFormat="1" ht="25.5">
      <c r="B54" s="7">
        <v>29</v>
      </c>
      <c r="C54" s="93" t="s">
        <v>168</v>
      </c>
      <c r="D54" s="9" t="s">
        <v>169</v>
      </c>
      <c r="E54" s="47" t="s">
        <v>1</v>
      </c>
      <c r="F54" s="70">
        <v>3</v>
      </c>
      <c r="G54" s="140"/>
      <c r="H54" s="10">
        <f aca="true" t="shared" si="22" ref="H54">G54*F54</f>
        <v>0</v>
      </c>
      <c r="I54" s="71"/>
      <c r="K54" s="91"/>
      <c r="L54" s="92"/>
    </row>
    <row r="55" spans="2:12" s="29" customFormat="1" ht="25.5">
      <c r="B55" s="7">
        <v>30</v>
      </c>
      <c r="C55" s="93" t="s">
        <v>171</v>
      </c>
      <c r="D55" s="9" t="s">
        <v>170</v>
      </c>
      <c r="E55" s="47" t="s">
        <v>1</v>
      </c>
      <c r="F55" s="70">
        <v>13</v>
      </c>
      <c r="G55" s="140"/>
      <c r="H55" s="10">
        <f aca="true" t="shared" si="23" ref="H55">G55*F55</f>
        <v>0</v>
      </c>
      <c r="I55" s="71"/>
      <c r="K55" s="91"/>
      <c r="L55" s="92"/>
    </row>
    <row r="56" spans="2:12" s="29" customFormat="1" ht="25.5">
      <c r="B56" s="7">
        <v>31</v>
      </c>
      <c r="C56" s="93" t="s">
        <v>69</v>
      </c>
      <c r="D56" s="9" t="s">
        <v>172</v>
      </c>
      <c r="E56" s="47" t="s">
        <v>1</v>
      </c>
      <c r="F56" s="70">
        <v>5</v>
      </c>
      <c r="G56" s="140"/>
      <c r="H56" s="10">
        <f t="shared" si="20"/>
        <v>0</v>
      </c>
      <c r="I56" s="71"/>
      <c r="K56" s="91"/>
      <c r="L56" s="92"/>
    </row>
    <row r="57" spans="2:17" ht="12.75">
      <c r="B57" s="7">
        <v>32</v>
      </c>
      <c r="C57" s="94" t="s">
        <v>45</v>
      </c>
      <c r="D57" s="48" t="s">
        <v>46</v>
      </c>
      <c r="E57" s="47" t="s">
        <v>0</v>
      </c>
      <c r="F57" s="67">
        <f>+F26+F27+F28</f>
        <v>101</v>
      </c>
      <c r="G57" s="140"/>
      <c r="H57" s="10">
        <f t="shared" si="20"/>
        <v>0</v>
      </c>
      <c r="I57" s="28"/>
      <c r="J57" s="4"/>
      <c r="K57" s="3"/>
      <c r="L57" s="4"/>
      <c r="N57" s="4"/>
      <c r="O57" s="3"/>
      <c r="Q57" s="3"/>
    </row>
    <row r="58" spans="2:17" ht="12.75">
      <c r="B58" s="7">
        <v>33</v>
      </c>
      <c r="C58" s="95" t="s">
        <v>47</v>
      </c>
      <c r="D58" s="48" t="s">
        <v>183</v>
      </c>
      <c r="E58" s="47" t="s">
        <v>1</v>
      </c>
      <c r="F58" s="67">
        <v>1</v>
      </c>
      <c r="G58" s="140"/>
      <c r="H58" s="10">
        <f t="shared" si="20"/>
        <v>0</v>
      </c>
      <c r="I58" s="28"/>
      <c r="J58" s="4"/>
      <c r="K58" s="3"/>
      <c r="L58" s="4"/>
      <c r="N58" s="4"/>
      <c r="O58" s="3"/>
      <c r="Q58" s="3"/>
    </row>
    <row r="59" spans="2:12" s="29" customFormat="1" ht="25.5">
      <c r="B59" s="144">
        <v>34</v>
      </c>
      <c r="C59" s="93" t="s">
        <v>47</v>
      </c>
      <c r="D59" s="9" t="s">
        <v>185</v>
      </c>
      <c r="E59" s="47" t="s">
        <v>1</v>
      </c>
      <c r="F59" s="70">
        <v>1</v>
      </c>
      <c r="G59" s="140"/>
      <c r="H59" s="10">
        <f>-(G59*F59)</f>
        <v>0</v>
      </c>
      <c r="I59" s="71"/>
      <c r="K59" s="91"/>
      <c r="L59" s="92"/>
    </row>
    <row r="60" spans="2:12" s="29" customFormat="1" ht="25.5">
      <c r="B60" s="7">
        <v>35</v>
      </c>
      <c r="C60" s="93" t="s">
        <v>47</v>
      </c>
      <c r="D60" s="9" t="s">
        <v>182</v>
      </c>
      <c r="E60" s="47" t="s">
        <v>14</v>
      </c>
      <c r="F60" s="70">
        <v>0</v>
      </c>
      <c r="G60" s="67"/>
      <c r="H60" s="10">
        <f>G60*F60</f>
        <v>0</v>
      </c>
      <c r="I60" s="129"/>
      <c r="K60" s="91"/>
      <c r="L60" s="92"/>
    </row>
    <row r="61" spans="2:12" s="29" customFormat="1" ht="26.25" thickBot="1">
      <c r="B61" s="98">
        <v>36</v>
      </c>
      <c r="C61" s="106" t="s">
        <v>47</v>
      </c>
      <c r="D61" s="100" t="s">
        <v>184</v>
      </c>
      <c r="E61" s="99" t="s">
        <v>0</v>
      </c>
      <c r="F61" s="107">
        <f>28*2</f>
        <v>56</v>
      </c>
      <c r="G61" s="141"/>
      <c r="H61" s="103">
        <f>G61*F61</f>
        <v>0</v>
      </c>
      <c r="I61" s="71"/>
      <c r="K61" s="91"/>
      <c r="L61" s="92"/>
    </row>
    <row r="62" spans="1:17" s="11" customFormat="1" ht="13.5" thickBot="1">
      <c r="A62" s="3"/>
      <c r="B62" s="16"/>
      <c r="C62" s="31"/>
      <c r="D62" s="15" t="s">
        <v>71</v>
      </c>
      <c r="E62" s="16"/>
      <c r="F62" s="68"/>
      <c r="G62" s="68"/>
      <c r="H62" s="147">
        <f>SUM(H26:H61)</f>
        <v>0</v>
      </c>
      <c r="I62" s="122"/>
      <c r="J62" s="91"/>
      <c r="K62" s="92"/>
      <c r="L62" s="29"/>
      <c r="M62" s="91"/>
      <c r="N62" s="50"/>
      <c r="O62" s="50"/>
      <c r="Q62" s="50"/>
    </row>
    <row r="63" spans="1:17" s="11" customFormat="1" ht="12.75">
      <c r="A63" s="3"/>
      <c r="B63" s="16"/>
      <c r="C63" s="31"/>
      <c r="D63" s="15"/>
      <c r="E63" s="16"/>
      <c r="F63" s="68"/>
      <c r="G63" s="68"/>
      <c r="H63" s="18"/>
      <c r="I63" s="122"/>
      <c r="J63" s="91"/>
      <c r="K63" s="92"/>
      <c r="L63" s="29"/>
      <c r="M63" s="91"/>
      <c r="N63" s="50"/>
      <c r="O63" s="50"/>
      <c r="Q63" s="50"/>
    </row>
    <row r="64" spans="2:17" ht="13.5" thickBot="1">
      <c r="B64" s="3" t="s">
        <v>3</v>
      </c>
      <c r="C64" s="2" t="s">
        <v>148</v>
      </c>
      <c r="D64" s="3"/>
      <c r="E64" s="1" t="s">
        <v>4</v>
      </c>
      <c r="F64" s="62" t="s">
        <v>5</v>
      </c>
      <c r="G64" s="13" t="s">
        <v>6</v>
      </c>
      <c r="H64" s="104" t="s">
        <v>7</v>
      </c>
      <c r="I64" s="1"/>
      <c r="J64" s="91"/>
      <c r="K64" s="92"/>
      <c r="L64" s="29"/>
      <c r="M64" s="91"/>
      <c r="N64" s="3"/>
      <c r="O64" s="3"/>
      <c r="Q64" s="3"/>
    </row>
    <row r="65" spans="2:12" s="29" customFormat="1" ht="25.5">
      <c r="B65" s="5">
        <v>37</v>
      </c>
      <c r="C65" s="87" t="s">
        <v>145</v>
      </c>
      <c r="D65" s="88" t="s">
        <v>219</v>
      </c>
      <c r="E65" s="32" t="s">
        <v>1</v>
      </c>
      <c r="F65" s="69">
        <v>0</v>
      </c>
      <c r="G65" s="89"/>
      <c r="H65" s="33">
        <f aca="true" t="shared" si="24" ref="H65">G65*F65</f>
        <v>0</v>
      </c>
      <c r="I65" s="136"/>
      <c r="K65" s="91"/>
      <c r="L65" s="92"/>
    </row>
    <row r="66" spans="2:12" s="29" customFormat="1" ht="25.5">
      <c r="B66" s="7">
        <v>38</v>
      </c>
      <c r="C66" s="93" t="s">
        <v>146</v>
      </c>
      <c r="D66" s="9" t="s">
        <v>220</v>
      </c>
      <c r="E66" s="47" t="s">
        <v>1</v>
      </c>
      <c r="F66" s="70">
        <v>0</v>
      </c>
      <c r="G66" s="67"/>
      <c r="H66" s="10">
        <f aca="true" t="shared" si="25" ref="H66">G66*F66</f>
        <v>0</v>
      </c>
      <c r="I66" s="129"/>
      <c r="K66" s="91"/>
      <c r="L66" s="92"/>
    </row>
    <row r="67" spans="2:12" s="29" customFormat="1" ht="26.25" thickBot="1">
      <c r="B67" s="98">
        <v>39</v>
      </c>
      <c r="C67" s="106" t="s">
        <v>146</v>
      </c>
      <c r="D67" s="100" t="s">
        <v>221</v>
      </c>
      <c r="E67" s="99" t="s">
        <v>1</v>
      </c>
      <c r="F67" s="107">
        <v>0</v>
      </c>
      <c r="G67" s="102"/>
      <c r="H67" s="103">
        <f aca="true" t="shared" si="26" ref="H67">G67*F67</f>
        <v>0</v>
      </c>
      <c r="I67" s="71"/>
      <c r="K67" s="91"/>
      <c r="L67" s="92"/>
    </row>
    <row r="68" spans="1:17" s="11" customFormat="1" ht="13.5" thickBot="1">
      <c r="A68" s="3"/>
      <c r="B68" s="16"/>
      <c r="C68" s="31"/>
      <c r="D68" s="15" t="s">
        <v>147</v>
      </c>
      <c r="E68" s="16"/>
      <c r="F68" s="68"/>
      <c r="G68" s="68"/>
      <c r="H68" s="147">
        <f>SUM(H65:H67)</f>
        <v>0</v>
      </c>
      <c r="I68" s="122"/>
      <c r="J68" s="91"/>
      <c r="K68" s="92"/>
      <c r="L68" s="29"/>
      <c r="M68" s="91"/>
      <c r="N68" s="50"/>
      <c r="O68" s="50"/>
      <c r="Q68" s="50"/>
    </row>
    <row r="69" spans="1:17" s="11" customFormat="1" ht="12.75">
      <c r="A69" s="3"/>
      <c r="B69" s="16"/>
      <c r="C69" s="31"/>
      <c r="D69" s="15"/>
      <c r="E69" s="16"/>
      <c r="F69" s="68"/>
      <c r="G69" s="68"/>
      <c r="H69" s="18"/>
      <c r="I69" s="122"/>
      <c r="J69" s="91"/>
      <c r="K69" s="92"/>
      <c r="L69" s="29"/>
      <c r="M69" s="91"/>
      <c r="N69" s="50"/>
      <c r="O69" s="50"/>
      <c r="Q69" s="50"/>
    </row>
    <row r="70" spans="2:11" ht="13.5" thickBot="1">
      <c r="B70" s="1" t="s">
        <v>3</v>
      </c>
      <c r="C70" s="2" t="s">
        <v>15</v>
      </c>
      <c r="E70" s="1" t="s">
        <v>4</v>
      </c>
      <c r="F70" s="62" t="s">
        <v>5</v>
      </c>
      <c r="G70" s="62" t="s">
        <v>6</v>
      </c>
      <c r="H70" s="14" t="s">
        <v>7</v>
      </c>
      <c r="K70" s="59"/>
    </row>
    <row r="71" spans="2:17" s="29" customFormat="1" ht="25.5">
      <c r="B71" s="5">
        <v>40</v>
      </c>
      <c r="C71" s="32" t="s">
        <v>122</v>
      </c>
      <c r="D71" s="88" t="s">
        <v>225</v>
      </c>
      <c r="E71" s="32" t="s">
        <v>0</v>
      </c>
      <c r="F71" s="89">
        <v>15</v>
      </c>
      <c r="G71" s="139"/>
      <c r="H71" s="33">
        <f>G71*F71</f>
        <v>0</v>
      </c>
      <c r="I71" s="120"/>
      <c r="J71" s="63"/>
      <c r="K71" s="55"/>
      <c r="L71" s="55"/>
      <c r="M71" s="92"/>
      <c r="N71" s="40"/>
      <c r="O71" s="45"/>
      <c r="Q71" s="40"/>
    </row>
    <row r="72" spans="2:17" s="29" customFormat="1" ht="25.5">
      <c r="B72" s="7">
        <v>41</v>
      </c>
      <c r="C72" s="47" t="s">
        <v>96</v>
      </c>
      <c r="D72" s="9" t="s">
        <v>95</v>
      </c>
      <c r="E72" s="47" t="s">
        <v>1</v>
      </c>
      <c r="F72" s="51">
        <v>1000</v>
      </c>
      <c r="G72" s="140"/>
      <c r="H72" s="10">
        <f aca="true" t="shared" si="27" ref="H72">G72*F72</f>
        <v>0</v>
      </c>
      <c r="I72" s="129"/>
      <c r="J72" s="63"/>
      <c r="K72" s="55"/>
      <c r="L72" s="55"/>
      <c r="M72" s="92"/>
      <c r="N72" s="40"/>
      <c r="O72" s="45"/>
      <c r="Q72" s="40"/>
    </row>
    <row r="73" spans="2:17" s="29" customFormat="1" ht="25.5">
      <c r="B73" s="7">
        <v>42</v>
      </c>
      <c r="C73" s="47" t="s">
        <v>92</v>
      </c>
      <c r="D73" s="9" t="s">
        <v>90</v>
      </c>
      <c r="E73" s="47" t="s">
        <v>1</v>
      </c>
      <c r="F73" s="70">
        <v>9</v>
      </c>
      <c r="G73" s="140"/>
      <c r="H73" s="10">
        <f aca="true" t="shared" si="28" ref="H73:H105">G73*F73</f>
        <v>0</v>
      </c>
      <c r="I73" s="120"/>
      <c r="J73" s="63"/>
      <c r="K73" s="55"/>
      <c r="L73" s="55"/>
      <c r="M73" s="92"/>
      <c r="N73" s="40"/>
      <c r="O73" s="45"/>
      <c r="Q73" s="40"/>
    </row>
    <row r="74" spans="2:17" s="29" customFormat="1" ht="25.5">
      <c r="B74" s="7">
        <v>43</v>
      </c>
      <c r="C74" s="47" t="s">
        <v>16</v>
      </c>
      <c r="D74" s="9" t="s">
        <v>91</v>
      </c>
      <c r="E74" s="47" t="s">
        <v>1</v>
      </c>
      <c r="F74" s="70">
        <v>32</v>
      </c>
      <c r="G74" s="140"/>
      <c r="H74" s="10">
        <f t="shared" si="28"/>
        <v>0</v>
      </c>
      <c r="I74" s="120"/>
      <c r="J74" s="63"/>
      <c r="K74" s="55"/>
      <c r="L74" s="55"/>
      <c r="M74" s="92"/>
      <c r="N74" s="40"/>
      <c r="O74" s="45"/>
      <c r="Q74" s="40"/>
    </row>
    <row r="75" spans="2:17" s="29" customFormat="1" ht="25.5">
      <c r="B75" s="7">
        <v>44</v>
      </c>
      <c r="C75" s="47" t="s">
        <v>93</v>
      </c>
      <c r="D75" s="9" t="s">
        <v>94</v>
      </c>
      <c r="E75" s="47" t="s">
        <v>1</v>
      </c>
      <c r="F75" s="70">
        <v>3</v>
      </c>
      <c r="G75" s="140"/>
      <c r="H75" s="10">
        <f aca="true" t="shared" si="29" ref="H75:H76">G75*F75</f>
        <v>0</v>
      </c>
      <c r="I75" s="120"/>
      <c r="J75" s="63"/>
      <c r="K75" s="55"/>
      <c r="L75" s="55"/>
      <c r="M75" s="92"/>
      <c r="N75" s="40"/>
      <c r="O75" s="45"/>
      <c r="Q75" s="40"/>
    </row>
    <row r="76" spans="2:17" s="29" customFormat="1" ht="25.5">
      <c r="B76" s="7">
        <v>45</v>
      </c>
      <c r="C76" s="47" t="s">
        <v>103</v>
      </c>
      <c r="D76" s="9" t="s">
        <v>104</v>
      </c>
      <c r="E76" s="47" t="s">
        <v>1</v>
      </c>
      <c r="F76" s="51">
        <f>+F72</f>
        <v>1000</v>
      </c>
      <c r="G76" s="140"/>
      <c r="H76" s="10">
        <f t="shared" si="29"/>
        <v>0</v>
      </c>
      <c r="I76" s="120"/>
      <c r="J76" s="63"/>
      <c r="K76" s="55"/>
      <c r="L76" s="55"/>
      <c r="M76" s="92"/>
      <c r="N76" s="40"/>
      <c r="O76" s="45"/>
      <c r="Q76" s="40"/>
    </row>
    <row r="77" spans="2:17" s="29" customFormat="1" ht="25.5">
      <c r="B77" s="7">
        <v>46</v>
      </c>
      <c r="C77" s="47" t="s">
        <v>98</v>
      </c>
      <c r="D77" s="9" t="s">
        <v>97</v>
      </c>
      <c r="E77" s="47" t="s">
        <v>1</v>
      </c>
      <c r="F77" s="67">
        <f>+F73</f>
        <v>9</v>
      </c>
      <c r="G77" s="140"/>
      <c r="H77" s="10">
        <f aca="true" t="shared" si="30" ref="H77:H83">G77*F77</f>
        <v>0</v>
      </c>
      <c r="I77" s="120"/>
      <c r="J77" s="63"/>
      <c r="K77" s="55"/>
      <c r="L77" s="55"/>
      <c r="M77" s="92"/>
      <c r="N77" s="40"/>
      <c r="O77" s="45"/>
      <c r="Q77" s="40"/>
    </row>
    <row r="78" spans="2:17" s="29" customFormat="1" ht="25.5">
      <c r="B78" s="7">
        <v>47</v>
      </c>
      <c r="C78" s="47" t="s">
        <v>100</v>
      </c>
      <c r="D78" s="9" t="s">
        <v>99</v>
      </c>
      <c r="E78" s="47" t="s">
        <v>1</v>
      </c>
      <c r="F78" s="67">
        <f>+F74</f>
        <v>32</v>
      </c>
      <c r="G78" s="140"/>
      <c r="H78" s="10">
        <f t="shared" si="30"/>
        <v>0</v>
      </c>
      <c r="I78" s="120"/>
      <c r="J78" s="63"/>
      <c r="K78" s="55"/>
      <c r="L78" s="55"/>
      <c r="M78" s="92"/>
      <c r="N78" s="40"/>
      <c r="O78" s="45"/>
      <c r="Q78" s="40"/>
    </row>
    <row r="79" spans="2:17" s="29" customFormat="1" ht="25.5">
      <c r="B79" s="7">
        <v>48</v>
      </c>
      <c r="C79" s="47" t="s">
        <v>102</v>
      </c>
      <c r="D79" s="9" t="s">
        <v>101</v>
      </c>
      <c r="E79" s="47" t="s">
        <v>1</v>
      </c>
      <c r="F79" s="67">
        <f>+F75</f>
        <v>3</v>
      </c>
      <c r="G79" s="140"/>
      <c r="H79" s="10">
        <f t="shared" si="30"/>
        <v>0</v>
      </c>
      <c r="I79" s="120"/>
      <c r="J79" s="63"/>
      <c r="K79" s="55"/>
      <c r="L79" s="55"/>
      <c r="M79" s="92"/>
      <c r="N79" s="40"/>
      <c r="O79" s="45"/>
      <c r="Q79" s="40"/>
    </row>
    <row r="80" spans="2:17" s="29" customFormat="1" ht="12.75">
      <c r="B80" s="7">
        <v>49</v>
      </c>
      <c r="C80" s="47" t="s">
        <v>105</v>
      </c>
      <c r="D80" s="9" t="s">
        <v>106</v>
      </c>
      <c r="E80" s="47" t="s">
        <v>1</v>
      </c>
      <c r="F80" s="67">
        <v>1</v>
      </c>
      <c r="G80" s="140"/>
      <c r="H80" s="10">
        <f t="shared" si="30"/>
        <v>0</v>
      </c>
      <c r="I80" s="120"/>
      <c r="J80" s="63"/>
      <c r="K80" s="55"/>
      <c r="L80" s="55"/>
      <c r="M80" s="92"/>
      <c r="N80" s="40"/>
      <c r="O80" s="45"/>
      <c r="Q80" s="40"/>
    </row>
    <row r="81" spans="2:17" s="29" customFormat="1" ht="12.75">
      <c r="B81" s="7">
        <v>50</v>
      </c>
      <c r="C81" s="47" t="s">
        <v>17</v>
      </c>
      <c r="D81" s="9" t="s">
        <v>18</v>
      </c>
      <c r="E81" s="47" t="s">
        <v>1</v>
      </c>
      <c r="F81" s="67">
        <v>34</v>
      </c>
      <c r="G81" s="140"/>
      <c r="H81" s="10">
        <f t="shared" si="30"/>
        <v>0</v>
      </c>
      <c r="I81" s="130"/>
      <c r="J81" s="63"/>
      <c r="K81" s="55"/>
      <c r="L81" s="55"/>
      <c r="M81" s="92"/>
      <c r="N81" s="40"/>
      <c r="O81" s="45"/>
      <c r="Q81" s="40"/>
    </row>
    <row r="82" spans="2:17" s="29" customFormat="1" ht="25.5">
      <c r="B82" s="7">
        <v>51</v>
      </c>
      <c r="C82" s="47" t="s">
        <v>19</v>
      </c>
      <c r="D82" s="9" t="s">
        <v>109</v>
      </c>
      <c r="E82" s="47" t="s">
        <v>1</v>
      </c>
      <c r="F82" s="70">
        <f>+F74+F122</f>
        <v>38</v>
      </c>
      <c r="G82" s="140"/>
      <c r="H82" s="10">
        <f t="shared" si="30"/>
        <v>0</v>
      </c>
      <c r="I82" s="120"/>
      <c r="J82" s="63"/>
      <c r="K82" s="55"/>
      <c r="L82" s="55"/>
      <c r="M82" s="92"/>
      <c r="N82" s="40"/>
      <c r="O82" s="45"/>
      <c r="Q82" s="40"/>
    </row>
    <row r="83" spans="2:17" s="29" customFormat="1" ht="25.5">
      <c r="B83" s="7">
        <v>52</v>
      </c>
      <c r="C83" s="47" t="s">
        <v>108</v>
      </c>
      <c r="D83" s="9" t="s">
        <v>110</v>
      </c>
      <c r="E83" s="47" t="s">
        <v>1</v>
      </c>
      <c r="F83" s="70">
        <f>+F75</f>
        <v>3</v>
      </c>
      <c r="G83" s="140"/>
      <c r="H83" s="10">
        <f t="shared" si="30"/>
        <v>0</v>
      </c>
      <c r="I83" s="120"/>
      <c r="J83" s="63"/>
      <c r="K83" s="55"/>
      <c r="L83" s="55"/>
      <c r="M83" s="92"/>
      <c r="N83" s="40"/>
      <c r="O83" s="45"/>
      <c r="Q83" s="40"/>
    </row>
    <row r="84" spans="2:17" s="29" customFormat="1" ht="25.5">
      <c r="B84" s="7">
        <v>53</v>
      </c>
      <c r="C84" s="47" t="s">
        <v>20</v>
      </c>
      <c r="D84" s="9" t="s">
        <v>111</v>
      </c>
      <c r="E84" s="47" t="s">
        <v>0</v>
      </c>
      <c r="F84" s="67">
        <f>29*0.6</f>
        <v>17.4</v>
      </c>
      <c r="G84" s="140"/>
      <c r="H84" s="10">
        <f aca="true" t="shared" si="31" ref="H84">G84*F84</f>
        <v>0</v>
      </c>
      <c r="I84" s="120"/>
      <c r="J84" s="63"/>
      <c r="K84" s="55"/>
      <c r="L84" s="55"/>
      <c r="M84" s="92"/>
      <c r="N84" s="40"/>
      <c r="O84" s="45"/>
      <c r="Q84" s="40"/>
    </row>
    <row r="85" spans="2:17" s="29" customFormat="1" ht="25.5">
      <c r="B85" s="7">
        <v>54</v>
      </c>
      <c r="C85" s="47" t="s">
        <v>112</v>
      </c>
      <c r="D85" s="9" t="s">
        <v>113</v>
      </c>
      <c r="E85" s="47" t="s">
        <v>0</v>
      </c>
      <c r="F85" s="67">
        <f>3*0.6</f>
        <v>1.7999999999999998</v>
      </c>
      <c r="G85" s="140"/>
      <c r="H85" s="10">
        <f t="shared" si="28"/>
        <v>0</v>
      </c>
      <c r="I85" s="120"/>
      <c r="K85" s="55"/>
      <c r="L85" s="55"/>
      <c r="M85" s="92"/>
      <c r="N85" s="40"/>
      <c r="O85" s="45"/>
      <c r="Q85" s="40"/>
    </row>
    <row r="86" spans="2:17" s="29" customFormat="1" ht="25.5">
      <c r="B86" s="7">
        <v>55</v>
      </c>
      <c r="C86" s="47" t="s">
        <v>21</v>
      </c>
      <c r="D86" s="9" t="s">
        <v>115</v>
      </c>
      <c r="E86" s="47" t="s">
        <v>0</v>
      </c>
      <c r="F86" s="67">
        <f>+(38*3.14*0.75*0.75)+15</f>
        <v>82.1175</v>
      </c>
      <c r="G86" s="140"/>
      <c r="H86" s="10">
        <f t="shared" si="28"/>
        <v>0</v>
      </c>
      <c r="I86" s="120"/>
      <c r="K86" s="55"/>
      <c r="L86" s="55"/>
      <c r="M86" s="92"/>
      <c r="N86" s="40"/>
      <c r="O86" s="45"/>
      <c r="Q86" s="40"/>
    </row>
    <row r="87" spans="2:17" s="29" customFormat="1" ht="25.5">
      <c r="B87" s="7">
        <v>56</v>
      </c>
      <c r="C87" s="47" t="s">
        <v>70</v>
      </c>
      <c r="D87" s="9" t="s">
        <v>114</v>
      </c>
      <c r="E87" s="47" t="s">
        <v>0</v>
      </c>
      <c r="F87" s="67">
        <f>+(3*3.14*0.75*0.75)</f>
        <v>5.29875</v>
      </c>
      <c r="G87" s="140"/>
      <c r="H87" s="10">
        <f t="shared" si="28"/>
        <v>0</v>
      </c>
      <c r="I87" s="120"/>
      <c r="K87" s="55"/>
      <c r="L87" s="55"/>
      <c r="M87" s="92"/>
      <c r="N87" s="40"/>
      <c r="O87" s="45"/>
      <c r="Q87" s="40"/>
    </row>
    <row r="88" spans="2:17" s="29" customFormat="1" ht="38.25">
      <c r="B88" s="7">
        <v>57</v>
      </c>
      <c r="C88" s="47" t="s">
        <v>22</v>
      </c>
      <c r="D88" s="9" t="s">
        <v>116</v>
      </c>
      <c r="E88" s="47" t="s">
        <v>8</v>
      </c>
      <c r="F88" s="108">
        <f>+(35*10)*10*0.001*0.001+(9*2)*10*0.001*0.001</f>
        <v>0.00368</v>
      </c>
      <c r="G88" s="140"/>
      <c r="H88" s="10">
        <f t="shared" si="28"/>
        <v>0</v>
      </c>
      <c r="I88" s="120"/>
      <c r="J88" s="63"/>
      <c r="K88" s="55"/>
      <c r="L88" s="55"/>
      <c r="M88" s="92"/>
      <c r="N88" s="40"/>
      <c r="O88" s="45"/>
      <c r="Q88" s="40"/>
    </row>
    <row r="89" spans="2:17" s="29" customFormat="1" ht="25.5">
      <c r="B89" s="7">
        <v>58</v>
      </c>
      <c r="C89" s="47" t="s">
        <v>23</v>
      </c>
      <c r="D89" s="9" t="s">
        <v>126</v>
      </c>
      <c r="E89" s="47" t="s">
        <v>14</v>
      </c>
      <c r="F89" s="67">
        <f>+(F79+F78)*0.1+(F77)*0.02</f>
        <v>3.68</v>
      </c>
      <c r="G89" s="140"/>
      <c r="H89" s="10">
        <f t="shared" si="28"/>
        <v>0</v>
      </c>
      <c r="I89" s="120"/>
      <c r="K89" s="55"/>
      <c r="L89" s="55"/>
      <c r="M89" s="92"/>
      <c r="N89" s="40"/>
      <c r="O89" s="45"/>
      <c r="Q89" s="40"/>
    </row>
    <row r="90" spans="2:17" s="29" customFormat="1" ht="12.75">
      <c r="B90" s="7">
        <v>59</v>
      </c>
      <c r="C90" s="47" t="s">
        <v>24</v>
      </c>
      <c r="D90" s="9" t="s">
        <v>25</v>
      </c>
      <c r="E90" s="47" t="s">
        <v>14</v>
      </c>
      <c r="F90" s="67">
        <f>+F89</f>
        <v>3.68</v>
      </c>
      <c r="G90" s="140"/>
      <c r="H90" s="10">
        <f t="shared" si="28"/>
        <v>0</v>
      </c>
      <c r="I90" s="120"/>
      <c r="J90" s="63"/>
      <c r="K90" s="55"/>
      <c r="L90" s="55"/>
      <c r="M90" s="92"/>
      <c r="N90" s="40"/>
      <c r="O90" s="45"/>
      <c r="Q90" s="40"/>
    </row>
    <row r="91" spans="2:17" s="29" customFormat="1" ht="25.5">
      <c r="B91" s="7">
        <v>60</v>
      </c>
      <c r="C91" s="105" t="s">
        <v>26</v>
      </c>
      <c r="D91" s="9" t="s">
        <v>27</v>
      </c>
      <c r="E91" s="96" t="s">
        <v>8</v>
      </c>
      <c r="F91" s="70">
        <f>+(F102+F101)*0.3+F103*0.3+F88+F95*0.003+F92*3.14*0.04*0.04*3*1.6+F93*0.0003+F100*0.002</f>
        <v>9.2183495</v>
      </c>
      <c r="G91" s="140"/>
      <c r="H91" s="10">
        <f>G91*F91</f>
        <v>0</v>
      </c>
      <c r="I91" s="120"/>
      <c r="K91" s="55"/>
      <c r="L91" s="55"/>
      <c r="N91" s="40"/>
      <c r="O91" s="45"/>
      <c r="Q91" s="40"/>
    </row>
    <row r="92" spans="2:12" s="29" customFormat="1" ht="25.5">
      <c r="B92" s="7">
        <v>61</v>
      </c>
      <c r="C92" s="93" t="s">
        <v>47</v>
      </c>
      <c r="D92" s="9" t="s">
        <v>217</v>
      </c>
      <c r="E92" s="47" t="s">
        <v>1</v>
      </c>
      <c r="F92" s="67">
        <v>35</v>
      </c>
      <c r="G92" s="140"/>
      <c r="H92" s="10">
        <f>G92*F92</f>
        <v>0</v>
      </c>
      <c r="I92" s="90"/>
      <c r="J92" s="110"/>
      <c r="K92" s="91"/>
      <c r="L92" s="92"/>
    </row>
    <row r="93" spans="2:12" s="29" customFormat="1" ht="25.5">
      <c r="B93" s="7">
        <v>62</v>
      </c>
      <c r="C93" s="93" t="s">
        <v>47</v>
      </c>
      <c r="D93" s="9" t="s">
        <v>119</v>
      </c>
      <c r="E93" s="47" t="s">
        <v>1</v>
      </c>
      <c r="F93" s="67">
        <f>+F110+F113+F115+F116+F117</f>
        <v>28</v>
      </c>
      <c r="G93" s="140"/>
      <c r="H93" s="10">
        <f aca="true" t="shared" si="32" ref="H93">G93*F93</f>
        <v>0</v>
      </c>
      <c r="I93" s="130"/>
      <c r="J93" s="110"/>
      <c r="K93" s="91"/>
      <c r="L93" s="92"/>
    </row>
    <row r="94" spans="2:12" s="29" customFormat="1" ht="12.75">
      <c r="B94" s="7">
        <v>63</v>
      </c>
      <c r="C94" s="93" t="s">
        <v>47</v>
      </c>
      <c r="D94" s="9" t="s">
        <v>117</v>
      </c>
      <c r="E94" s="47" t="s">
        <v>1</v>
      </c>
      <c r="F94" s="67">
        <v>2</v>
      </c>
      <c r="G94" s="140"/>
      <c r="H94" s="10">
        <f aca="true" t="shared" si="33" ref="H94">G94*F94</f>
        <v>0</v>
      </c>
      <c r="I94" s="71"/>
      <c r="J94" s="110"/>
      <c r="K94" s="91"/>
      <c r="L94" s="92"/>
    </row>
    <row r="95" spans="2:14" ht="12.75">
      <c r="B95" s="7">
        <v>64</v>
      </c>
      <c r="C95" s="111" t="s">
        <v>9</v>
      </c>
      <c r="D95" s="9" t="s">
        <v>107</v>
      </c>
      <c r="E95" s="8" t="s">
        <v>1</v>
      </c>
      <c r="F95" s="70">
        <f>+F81*3+F80</f>
        <v>103</v>
      </c>
      <c r="G95" s="140"/>
      <c r="H95" s="10">
        <f t="shared" si="28"/>
        <v>0</v>
      </c>
      <c r="K95" s="55"/>
      <c r="M95" s="4"/>
      <c r="N95" s="39"/>
    </row>
    <row r="96" spans="2:14" ht="12.75">
      <c r="B96" s="7">
        <v>65</v>
      </c>
      <c r="C96" s="111" t="s">
        <v>9</v>
      </c>
      <c r="D96" s="9" t="s">
        <v>43</v>
      </c>
      <c r="E96" s="8" t="s">
        <v>1</v>
      </c>
      <c r="F96" s="67">
        <f>34*3</f>
        <v>102</v>
      </c>
      <c r="G96" s="140"/>
      <c r="H96" s="10">
        <f t="shared" si="28"/>
        <v>0</v>
      </c>
      <c r="K96" s="55"/>
      <c r="M96" s="4"/>
      <c r="N96" s="39"/>
    </row>
    <row r="97" spans="2:14" ht="12.75">
      <c r="B97" s="7">
        <v>66</v>
      </c>
      <c r="C97" s="111" t="s">
        <v>9</v>
      </c>
      <c r="D97" s="9" t="s">
        <v>28</v>
      </c>
      <c r="E97" s="8" t="s">
        <v>0</v>
      </c>
      <c r="F97" s="67">
        <f>+F85+F84</f>
        <v>19.2</v>
      </c>
      <c r="G97" s="140"/>
      <c r="H97" s="10">
        <f t="shared" si="28"/>
        <v>0</v>
      </c>
      <c r="K97" s="55"/>
      <c r="M97" s="4"/>
      <c r="N97" s="39"/>
    </row>
    <row r="98" spans="2:14" ht="12.75">
      <c r="B98" s="7">
        <v>67</v>
      </c>
      <c r="C98" s="47" t="s">
        <v>9</v>
      </c>
      <c r="D98" s="9" t="s">
        <v>121</v>
      </c>
      <c r="E98" s="8" t="s">
        <v>2</v>
      </c>
      <c r="F98" s="67">
        <f>+(34*3+1)</f>
        <v>103</v>
      </c>
      <c r="G98" s="140"/>
      <c r="H98" s="10">
        <f t="shared" si="28"/>
        <v>0</v>
      </c>
      <c r="I98" s="131"/>
      <c r="K98" s="55"/>
      <c r="M98" s="4"/>
      <c r="N98" s="39"/>
    </row>
    <row r="99" spans="2:12" s="29" customFormat="1" ht="25.5">
      <c r="B99" s="7">
        <v>68</v>
      </c>
      <c r="C99" s="93" t="s">
        <v>9</v>
      </c>
      <c r="D99" s="9" t="s">
        <v>120</v>
      </c>
      <c r="E99" s="47" t="s">
        <v>1</v>
      </c>
      <c r="F99" s="67">
        <f>+F110+F113+F115+F116+F117</f>
        <v>28</v>
      </c>
      <c r="G99" s="140"/>
      <c r="H99" s="10">
        <f t="shared" si="28"/>
        <v>0</v>
      </c>
      <c r="I99" s="71"/>
      <c r="J99" s="110"/>
      <c r="K99" s="91"/>
      <c r="L99" s="92"/>
    </row>
    <row r="100" spans="2:12" s="29" customFormat="1" ht="12.75">
      <c r="B100" s="7">
        <v>69</v>
      </c>
      <c r="C100" s="93" t="s">
        <v>9</v>
      </c>
      <c r="D100" s="9" t="s">
        <v>118</v>
      </c>
      <c r="E100" s="47" t="s">
        <v>2</v>
      </c>
      <c r="F100" s="67">
        <f>2*3</f>
        <v>6</v>
      </c>
      <c r="G100" s="140"/>
      <c r="H100" s="10">
        <f t="shared" si="28"/>
        <v>0</v>
      </c>
      <c r="I100" s="133"/>
      <c r="J100" s="110"/>
      <c r="K100" s="91"/>
      <c r="L100" s="92"/>
    </row>
    <row r="101" spans="2:14" ht="25.5">
      <c r="B101" s="7">
        <v>70</v>
      </c>
      <c r="C101" s="47" t="s">
        <v>9</v>
      </c>
      <c r="D101" s="9" t="s">
        <v>123</v>
      </c>
      <c r="E101" s="8" t="s">
        <v>14</v>
      </c>
      <c r="F101" s="67">
        <f>+(3*0.125*0.5)</f>
        <v>0.1875</v>
      </c>
      <c r="G101" s="140"/>
      <c r="H101" s="10">
        <f aca="true" t="shared" si="34" ref="H101">G101*F101</f>
        <v>0</v>
      </c>
      <c r="K101" s="55"/>
      <c r="M101" s="4"/>
      <c r="N101" s="39"/>
    </row>
    <row r="102" spans="2:14" ht="12.75">
      <c r="B102" s="7">
        <v>71</v>
      </c>
      <c r="C102" s="47" t="s">
        <v>9</v>
      </c>
      <c r="D102" s="9" t="s">
        <v>124</v>
      </c>
      <c r="E102" s="8" t="s">
        <v>14</v>
      </c>
      <c r="F102" s="67">
        <f>+(35*1*0.5)+(6*0.125*0.5)</f>
        <v>17.875</v>
      </c>
      <c r="G102" s="140"/>
      <c r="H102" s="10">
        <f t="shared" si="28"/>
        <v>0</v>
      </c>
      <c r="K102" s="55"/>
      <c r="M102" s="4"/>
      <c r="N102" s="39"/>
    </row>
    <row r="103" spans="2:14" ht="12.75">
      <c r="B103" s="7">
        <v>72</v>
      </c>
      <c r="C103" s="111" t="s">
        <v>9</v>
      </c>
      <c r="D103" s="9" t="s">
        <v>29</v>
      </c>
      <c r="E103" s="8" t="s">
        <v>14</v>
      </c>
      <c r="F103" s="67">
        <f>(F86+F87)*0.1</f>
        <v>8.741625</v>
      </c>
      <c r="G103" s="140"/>
      <c r="H103" s="10">
        <f t="shared" si="28"/>
        <v>0</v>
      </c>
      <c r="K103" s="55"/>
      <c r="M103" s="4"/>
      <c r="N103" s="39"/>
    </row>
    <row r="104" spans="2:14" ht="12.75">
      <c r="B104" s="7">
        <v>73</v>
      </c>
      <c r="C104" s="111" t="s">
        <v>9</v>
      </c>
      <c r="D104" s="9" t="s">
        <v>125</v>
      </c>
      <c r="E104" s="47" t="s">
        <v>1</v>
      </c>
      <c r="F104" s="67">
        <f>+(35*10+9*2)</f>
        <v>368</v>
      </c>
      <c r="G104" s="140"/>
      <c r="H104" s="10">
        <f t="shared" si="28"/>
        <v>0</v>
      </c>
      <c r="K104" s="55"/>
      <c r="L104" s="60"/>
      <c r="M104" s="4"/>
      <c r="N104" s="39"/>
    </row>
    <row r="105" spans="2:11" ht="13.5" thickBot="1">
      <c r="B105" s="98">
        <v>74</v>
      </c>
      <c r="C105" s="112" t="s">
        <v>9</v>
      </c>
      <c r="D105" s="113" t="s">
        <v>30</v>
      </c>
      <c r="E105" s="99" t="s">
        <v>11</v>
      </c>
      <c r="F105" s="102">
        <f>10*F71/10000</f>
        <v>0.015</v>
      </c>
      <c r="G105" s="141"/>
      <c r="H105" s="103">
        <f t="shared" si="28"/>
        <v>0</v>
      </c>
      <c r="K105" s="55"/>
    </row>
    <row r="106" spans="4:9" ht="12.75">
      <c r="D106" s="3"/>
      <c r="E106" s="16"/>
      <c r="F106" s="68"/>
      <c r="G106" s="68"/>
      <c r="H106" s="26"/>
      <c r="I106" s="123"/>
    </row>
    <row r="107" spans="3:14" ht="12.75">
      <c r="C107" s="151" t="s">
        <v>31</v>
      </c>
      <c r="D107" s="151"/>
      <c r="F107" s="62"/>
      <c r="H107" s="35"/>
      <c r="I107" s="1"/>
      <c r="M107" s="4"/>
      <c r="N107" s="39"/>
    </row>
    <row r="108" spans="2:14" ht="13.5" thickBot="1">
      <c r="B108" s="1" t="s">
        <v>3</v>
      </c>
      <c r="C108" s="34" t="s">
        <v>32</v>
      </c>
      <c r="D108" s="15"/>
      <c r="E108" s="1" t="s">
        <v>4</v>
      </c>
      <c r="F108" s="62" t="s">
        <v>5</v>
      </c>
      <c r="G108" s="62" t="s">
        <v>6</v>
      </c>
      <c r="H108" s="14" t="s">
        <v>7</v>
      </c>
      <c r="M108" s="52"/>
      <c r="N108" s="39"/>
    </row>
    <row r="109" spans="2:17" s="27" customFormat="1" ht="12.75">
      <c r="B109" s="5"/>
      <c r="C109" s="32"/>
      <c r="D109" s="36" t="s">
        <v>34</v>
      </c>
      <c r="E109" s="6"/>
      <c r="F109" s="82"/>
      <c r="G109" s="69"/>
      <c r="H109" s="33"/>
      <c r="I109" s="120"/>
      <c r="J109" s="65"/>
      <c r="K109" s="58"/>
      <c r="L109" s="58"/>
      <c r="M109" s="30"/>
      <c r="N109" s="37"/>
      <c r="O109" s="44"/>
      <c r="Q109" s="37"/>
    </row>
    <row r="110" spans="2:14" ht="12.75">
      <c r="B110" s="7">
        <v>75</v>
      </c>
      <c r="C110" s="111" t="s">
        <v>41</v>
      </c>
      <c r="D110" s="9" t="s">
        <v>38</v>
      </c>
      <c r="E110" s="8" t="s">
        <v>1</v>
      </c>
      <c r="F110" s="109">
        <v>6</v>
      </c>
      <c r="G110" s="140"/>
      <c r="H110" s="10">
        <f>G110*F110</f>
        <v>0</v>
      </c>
      <c r="K110" s="55"/>
      <c r="M110" s="4"/>
      <c r="N110" s="39"/>
    </row>
    <row r="111" spans="2:14" ht="12.75">
      <c r="B111" s="7">
        <v>76</v>
      </c>
      <c r="C111" s="111" t="s">
        <v>86</v>
      </c>
      <c r="D111" s="9" t="s">
        <v>76</v>
      </c>
      <c r="E111" s="8" t="s">
        <v>1</v>
      </c>
      <c r="F111" s="109">
        <v>1</v>
      </c>
      <c r="G111" s="140"/>
      <c r="H111" s="10">
        <f>G111*F111</f>
        <v>0</v>
      </c>
      <c r="K111" s="55"/>
      <c r="M111" s="4"/>
      <c r="N111" s="39"/>
    </row>
    <row r="112" spans="2:14" ht="12.75">
      <c r="B112" s="7">
        <v>77</v>
      </c>
      <c r="C112" s="111" t="s">
        <v>42</v>
      </c>
      <c r="D112" s="9" t="s">
        <v>77</v>
      </c>
      <c r="E112" s="8" t="s">
        <v>1</v>
      </c>
      <c r="F112" s="109">
        <v>1</v>
      </c>
      <c r="G112" s="140"/>
      <c r="H112" s="10">
        <f>G112*F112</f>
        <v>0</v>
      </c>
      <c r="K112" s="55"/>
      <c r="M112" s="4"/>
      <c r="N112" s="39"/>
    </row>
    <row r="113" spans="2:14" ht="12.75">
      <c r="B113" s="7">
        <v>78</v>
      </c>
      <c r="C113" s="111" t="s">
        <v>41</v>
      </c>
      <c r="D113" s="9" t="s">
        <v>39</v>
      </c>
      <c r="E113" s="8" t="s">
        <v>1</v>
      </c>
      <c r="F113" s="109">
        <v>15</v>
      </c>
      <c r="G113" s="140"/>
      <c r="H113" s="10">
        <f>G113*F113</f>
        <v>0</v>
      </c>
      <c r="K113" s="55"/>
      <c r="M113" s="4"/>
      <c r="N113" s="39"/>
    </row>
    <row r="114" spans="2:14" ht="12.75">
      <c r="B114" s="7">
        <v>79</v>
      </c>
      <c r="C114" s="111" t="s">
        <v>41</v>
      </c>
      <c r="D114" s="9" t="s">
        <v>40</v>
      </c>
      <c r="E114" s="8" t="s">
        <v>1</v>
      </c>
      <c r="F114" s="109">
        <v>2</v>
      </c>
      <c r="G114" s="140"/>
      <c r="H114" s="10">
        <f>G114*F114</f>
        <v>0</v>
      </c>
      <c r="K114" s="55"/>
      <c r="M114" s="4"/>
      <c r="N114" s="39"/>
    </row>
    <row r="115" spans="2:14" ht="12.75">
      <c r="B115" s="7">
        <v>80</v>
      </c>
      <c r="C115" s="111" t="s">
        <v>42</v>
      </c>
      <c r="D115" s="9" t="s">
        <v>78</v>
      </c>
      <c r="E115" s="8" t="s">
        <v>1</v>
      </c>
      <c r="F115" s="109">
        <v>4</v>
      </c>
      <c r="G115" s="140"/>
      <c r="H115" s="10">
        <f aca="true" t="shared" si="35" ref="H115:H122">G115*F115</f>
        <v>0</v>
      </c>
      <c r="K115" s="55"/>
      <c r="M115" s="4"/>
      <c r="N115" s="39"/>
    </row>
    <row r="116" spans="2:14" ht="12.75">
      <c r="B116" s="7">
        <v>81</v>
      </c>
      <c r="C116" s="111" t="s">
        <v>41</v>
      </c>
      <c r="D116" s="9" t="s">
        <v>79</v>
      </c>
      <c r="E116" s="8" t="s">
        <v>1</v>
      </c>
      <c r="F116" s="109">
        <v>2</v>
      </c>
      <c r="G116" s="140"/>
      <c r="H116" s="10">
        <f t="shared" si="35"/>
        <v>0</v>
      </c>
      <c r="K116" s="55"/>
      <c r="M116" s="4"/>
      <c r="N116" s="39"/>
    </row>
    <row r="117" spans="2:14" ht="12.75">
      <c r="B117" s="7">
        <v>82</v>
      </c>
      <c r="C117" s="111" t="s">
        <v>41</v>
      </c>
      <c r="D117" s="9" t="s">
        <v>80</v>
      </c>
      <c r="E117" s="8" t="s">
        <v>1</v>
      </c>
      <c r="F117" s="109">
        <v>1</v>
      </c>
      <c r="G117" s="140"/>
      <c r="H117" s="10">
        <f t="shared" si="35"/>
        <v>0</v>
      </c>
      <c r="K117" s="55"/>
      <c r="M117" s="4"/>
      <c r="N117" s="39"/>
    </row>
    <row r="118" spans="2:14" ht="12.75">
      <c r="B118" s="7">
        <v>83</v>
      </c>
      <c r="C118" s="111" t="s">
        <v>41</v>
      </c>
      <c r="D118" s="9" t="s">
        <v>81</v>
      </c>
      <c r="E118" s="8" t="s">
        <v>1</v>
      </c>
      <c r="F118" s="109">
        <v>3</v>
      </c>
      <c r="G118" s="140"/>
      <c r="H118" s="10">
        <f t="shared" si="35"/>
        <v>0</v>
      </c>
      <c r="K118" s="55"/>
      <c r="M118" s="4"/>
      <c r="N118" s="39"/>
    </row>
    <row r="119" spans="2:17" s="27" customFormat="1" ht="12.75">
      <c r="B119" s="7"/>
      <c r="C119" s="8"/>
      <c r="D119" s="49" t="s">
        <v>35</v>
      </c>
      <c r="E119" s="8"/>
      <c r="F119" s="51"/>
      <c r="G119" s="70"/>
      <c r="H119" s="10"/>
      <c r="I119" s="120"/>
      <c r="J119" s="65"/>
      <c r="K119" s="55"/>
      <c r="L119" s="58"/>
      <c r="M119" s="30"/>
      <c r="N119" s="37"/>
      <c r="O119" s="44"/>
      <c r="Q119" s="37"/>
    </row>
    <row r="120" spans="2:14" ht="12.75">
      <c r="B120" s="7">
        <v>84</v>
      </c>
      <c r="C120" s="111" t="s">
        <v>85</v>
      </c>
      <c r="D120" s="9" t="s">
        <v>82</v>
      </c>
      <c r="E120" s="8" t="s">
        <v>1</v>
      </c>
      <c r="F120" s="109">
        <v>2</v>
      </c>
      <c r="G120" s="140"/>
      <c r="H120" s="10">
        <f t="shared" si="35"/>
        <v>0</v>
      </c>
      <c r="K120" s="55"/>
      <c r="M120" s="4"/>
      <c r="N120" s="39"/>
    </row>
    <row r="121" spans="2:14" ht="12.75">
      <c r="B121" s="7">
        <v>85</v>
      </c>
      <c r="C121" s="111" t="s">
        <v>85</v>
      </c>
      <c r="D121" s="9" t="s">
        <v>83</v>
      </c>
      <c r="E121" s="8" t="s">
        <v>1</v>
      </c>
      <c r="F121" s="109">
        <v>1</v>
      </c>
      <c r="G121" s="140"/>
      <c r="H121" s="10">
        <f t="shared" si="35"/>
        <v>0</v>
      </c>
      <c r="K121" s="55"/>
      <c r="M121" s="4"/>
      <c r="N121" s="39"/>
    </row>
    <row r="122" spans="2:14" ht="12.75">
      <c r="B122" s="7">
        <v>86</v>
      </c>
      <c r="C122" s="111" t="s">
        <v>85</v>
      </c>
      <c r="D122" s="9" t="s">
        <v>84</v>
      </c>
      <c r="E122" s="8" t="s">
        <v>1</v>
      </c>
      <c r="F122" s="109">
        <v>6</v>
      </c>
      <c r="G122" s="140"/>
      <c r="H122" s="10">
        <f t="shared" si="35"/>
        <v>0</v>
      </c>
      <c r="K122" s="55"/>
      <c r="M122" s="4"/>
      <c r="N122" s="39"/>
    </row>
    <row r="123" spans="2:17" s="27" customFormat="1" ht="12.75">
      <c r="B123" s="7"/>
      <c r="C123" s="8"/>
      <c r="D123" s="49" t="s">
        <v>87</v>
      </c>
      <c r="E123" s="8"/>
      <c r="F123" s="51"/>
      <c r="G123" s="142"/>
      <c r="H123" s="10"/>
      <c r="I123" s="120"/>
      <c r="J123" s="65"/>
      <c r="K123" s="55"/>
      <c r="L123" s="58"/>
      <c r="M123" s="30"/>
      <c r="N123" s="37"/>
      <c r="O123" s="44"/>
      <c r="Q123" s="37"/>
    </row>
    <row r="124" spans="2:14" ht="13.5" thickBot="1">
      <c r="B124" s="98">
        <v>87</v>
      </c>
      <c r="C124" s="132" t="s">
        <v>89</v>
      </c>
      <c r="D124" s="100" t="s">
        <v>88</v>
      </c>
      <c r="E124" s="101" t="s">
        <v>1</v>
      </c>
      <c r="F124" s="114">
        <v>6000</v>
      </c>
      <c r="G124" s="141"/>
      <c r="H124" s="103">
        <f aca="true" t="shared" si="36" ref="H124">G124*F124</f>
        <v>0</v>
      </c>
      <c r="K124" s="55"/>
      <c r="M124" s="4"/>
      <c r="N124" s="39"/>
    </row>
    <row r="125" spans="1:17" s="11" customFormat="1" ht="13.5" thickBot="1">
      <c r="A125" s="3"/>
      <c r="B125" s="16"/>
      <c r="C125" s="31"/>
      <c r="D125" s="15" t="s">
        <v>33</v>
      </c>
      <c r="E125" s="16"/>
      <c r="F125" s="16"/>
      <c r="G125" s="68"/>
      <c r="H125" s="147">
        <f>SUM(H71:H124)</f>
        <v>0</v>
      </c>
      <c r="I125" s="121"/>
      <c r="J125" s="66"/>
      <c r="K125" s="60"/>
      <c r="L125" s="60"/>
      <c r="M125" s="53"/>
      <c r="N125" s="50"/>
      <c r="O125" s="50"/>
      <c r="Q125" s="50"/>
    </row>
    <row r="126" spans="1:17" s="11" customFormat="1" ht="12.75">
      <c r="A126" s="3"/>
      <c r="B126" s="16"/>
      <c r="C126" s="31"/>
      <c r="D126" s="15"/>
      <c r="E126" s="16"/>
      <c r="F126" s="68"/>
      <c r="G126" s="68"/>
      <c r="H126" s="18"/>
      <c r="I126" s="121"/>
      <c r="J126" s="63"/>
      <c r="K126" s="53"/>
      <c r="L126" s="60"/>
      <c r="M126" s="31"/>
      <c r="N126" s="41"/>
      <c r="O126" s="46"/>
      <c r="Q126" s="41"/>
    </row>
    <row r="127" spans="1:17" ht="13.5" customHeight="1" thickBot="1">
      <c r="A127" s="4"/>
      <c r="B127" s="1" t="s">
        <v>3</v>
      </c>
      <c r="C127" s="2" t="s">
        <v>186</v>
      </c>
      <c r="D127" s="3"/>
      <c r="E127" s="4" t="s">
        <v>4</v>
      </c>
      <c r="F127" s="28" t="s">
        <v>5</v>
      </c>
      <c r="G127" s="124" t="s">
        <v>6</v>
      </c>
      <c r="H127" s="125" t="s">
        <v>7</v>
      </c>
      <c r="I127" s="4"/>
      <c r="J127" s="3"/>
      <c r="K127" s="4"/>
      <c r="L127" s="97"/>
      <c r="M127" s="4"/>
      <c r="N127" s="3"/>
      <c r="O127" s="3"/>
      <c r="Q127" s="3"/>
    </row>
    <row r="128" spans="1:17" s="29" customFormat="1" ht="25.5">
      <c r="A128" s="1"/>
      <c r="B128" s="5">
        <v>88</v>
      </c>
      <c r="C128" s="32" t="s">
        <v>122</v>
      </c>
      <c r="D128" s="88" t="s">
        <v>197</v>
      </c>
      <c r="E128" s="32" t="s">
        <v>0</v>
      </c>
      <c r="F128" s="89">
        <v>86</v>
      </c>
      <c r="G128" s="139"/>
      <c r="H128" s="33">
        <f aca="true" t="shared" si="37" ref="H128">+F128*G128</f>
        <v>0</v>
      </c>
      <c r="I128" s="61"/>
      <c r="J128" s="63"/>
      <c r="K128" s="55"/>
      <c r="L128" s="55"/>
      <c r="M128" s="92"/>
      <c r="N128" s="40"/>
      <c r="O128" s="45"/>
      <c r="Q128" s="40"/>
    </row>
    <row r="129" spans="1:17" s="29" customFormat="1" ht="12.75">
      <c r="A129" s="1"/>
      <c r="B129" s="7">
        <v>89</v>
      </c>
      <c r="C129" s="47" t="s">
        <v>187</v>
      </c>
      <c r="D129" s="9" t="s">
        <v>198</v>
      </c>
      <c r="E129" s="47" t="s">
        <v>0</v>
      </c>
      <c r="F129" s="67">
        <f>+F128</f>
        <v>86</v>
      </c>
      <c r="G129" s="140"/>
      <c r="H129" s="10">
        <f aca="true" t="shared" si="38" ref="H129:H138">G129*F129</f>
        <v>0</v>
      </c>
      <c r="I129" s="61"/>
      <c r="J129" s="63"/>
      <c r="K129" s="55"/>
      <c r="L129" s="55"/>
      <c r="M129" s="92"/>
      <c r="N129" s="40"/>
      <c r="O129" s="45"/>
      <c r="Q129" s="40"/>
    </row>
    <row r="130" spans="1:17" s="29" customFormat="1" ht="13.5" customHeight="1">
      <c r="A130" s="1"/>
      <c r="B130" s="7">
        <v>90</v>
      </c>
      <c r="C130" s="47" t="s">
        <v>188</v>
      </c>
      <c r="D130" s="9" t="s">
        <v>199</v>
      </c>
      <c r="E130" s="47" t="s">
        <v>0</v>
      </c>
      <c r="F130" s="67">
        <f>+F129*2</f>
        <v>172</v>
      </c>
      <c r="G130" s="140"/>
      <c r="H130" s="10">
        <f t="shared" si="38"/>
        <v>0</v>
      </c>
      <c r="I130" s="61"/>
      <c r="J130" s="63"/>
      <c r="K130" s="55"/>
      <c r="L130" s="55"/>
      <c r="M130" s="92"/>
      <c r="N130" s="40"/>
      <c r="O130" s="45"/>
      <c r="Q130" s="40"/>
    </row>
    <row r="131" spans="1:17" s="29" customFormat="1" ht="12.75">
      <c r="A131" s="1"/>
      <c r="B131" s="7">
        <v>91</v>
      </c>
      <c r="C131" s="47" t="s">
        <v>189</v>
      </c>
      <c r="D131" s="9" t="s">
        <v>200</v>
      </c>
      <c r="E131" s="47" t="s">
        <v>0</v>
      </c>
      <c r="F131" s="67">
        <f>+F128*2</f>
        <v>172</v>
      </c>
      <c r="G131" s="140"/>
      <c r="H131" s="10">
        <f t="shared" si="38"/>
        <v>0</v>
      </c>
      <c r="I131" s="61"/>
      <c r="J131" s="63"/>
      <c r="K131" s="55"/>
      <c r="L131" s="55"/>
      <c r="M131" s="92"/>
      <c r="N131" s="40"/>
      <c r="O131" s="45"/>
      <c r="Q131" s="40"/>
    </row>
    <row r="132" spans="1:17" s="29" customFormat="1" ht="12.75">
      <c r="A132" s="1"/>
      <c r="B132" s="7">
        <v>92</v>
      </c>
      <c r="C132" s="47" t="s">
        <v>190</v>
      </c>
      <c r="D132" s="9" t="s">
        <v>201</v>
      </c>
      <c r="E132" s="47" t="s">
        <v>0</v>
      </c>
      <c r="F132" s="67">
        <f>+F128*2</f>
        <v>172</v>
      </c>
      <c r="G132" s="140"/>
      <c r="H132" s="10">
        <f t="shared" si="38"/>
        <v>0</v>
      </c>
      <c r="I132" s="61"/>
      <c r="J132" s="63"/>
      <c r="K132" s="55"/>
      <c r="L132" s="55"/>
      <c r="M132" s="92"/>
      <c r="N132" s="40"/>
      <c r="O132" s="45"/>
      <c r="Q132" s="40"/>
    </row>
    <row r="133" spans="1:17" s="29" customFormat="1" ht="12.75">
      <c r="A133" s="1"/>
      <c r="B133" s="7">
        <v>93</v>
      </c>
      <c r="C133" s="47" t="s">
        <v>191</v>
      </c>
      <c r="D133" s="9" t="s">
        <v>202</v>
      </c>
      <c r="E133" s="47" t="s">
        <v>8</v>
      </c>
      <c r="F133" s="137">
        <f>F128*0.03*0.001</f>
        <v>0.0025800000000000003</v>
      </c>
      <c r="G133" s="140"/>
      <c r="H133" s="10">
        <f>G133*F133</f>
        <v>0</v>
      </c>
      <c r="I133" s="61"/>
      <c r="J133" s="63"/>
      <c r="K133" s="55"/>
      <c r="L133" s="55"/>
      <c r="M133" s="92"/>
      <c r="N133" s="40"/>
      <c r="O133" s="45"/>
      <c r="Q133" s="40"/>
    </row>
    <row r="134" spans="1:17" s="29" customFormat="1" ht="12.75">
      <c r="A134" s="1"/>
      <c r="B134" s="7">
        <v>94</v>
      </c>
      <c r="C134" s="47" t="s">
        <v>192</v>
      </c>
      <c r="D134" s="9" t="s">
        <v>203</v>
      </c>
      <c r="E134" s="47" t="s">
        <v>0</v>
      </c>
      <c r="F134" s="67">
        <f>+F128</f>
        <v>86</v>
      </c>
      <c r="G134" s="140"/>
      <c r="H134" s="10">
        <f t="shared" si="38"/>
        <v>0</v>
      </c>
      <c r="I134" s="61"/>
      <c r="J134" s="63"/>
      <c r="K134" s="55"/>
      <c r="L134" s="55"/>
      <c r="M134" s="92"/>
      <c r="N134" s="40"/>
      <c r="O134" s="45"/>
      <c r="Q134" s="40"/>
    </row>
    <row r="135" spans="1:17" s="29" customFormat="1" ht="12.75">
      <c r="A135" s="1"/>
      <c r="B135" s="7">
        <v>95</v>
      </c>
      <c r="C135" s="126" t="s">
        <v>47</v>
      </c>
      <c r="D135" s="126" t="s">
        <v>193</v>
      </c>
      <c r="E135" s="126" t="s">
        <v>0</v>
      </c>
      <c r="F135" s="127">
        <f>+F128</f>
        <v>86</v>
      </c>
      <c r="G135" s="143"/>
      <c r="H135" s="128">
        <f t="shared" si="38"/>
        <v>0</v>
      </c>
      <c r="I135" s="61"/>
      <c r="J135" s="63"/>
      <c r="K135" s="55"/>
      <c r="L135" s="55"/>
      <c r="M135" s="92"/>
      <c r="N135" s="40"/>
      <c r="O135" s="45"/>
      <c r="Q135" s="40"/>
    </row>
    <row r="136" spans="1:17" s="29" customFormat="1" ht="12.75">
      <c r="A136" s="1"/>
      <c r="B136" s="7">
        <v>96</v>
      </c>
      <c r="C136" s="47" t="s">
        <v>9</v>
      </c>
      <c r="D136" s="9" t="s">
        <v>194</v>
      </c>
      <c r="E136" s="47" t="s">
        <v>10</v>
      </c>
      <c r="F136" s="67">
        <f>(F128)*0.03</f>
        <v>2.58</v>
      </c>
      <c r="G136" s="140"/>
      <c r="H136" s="10">
        <f t="shared" si="38"/>
        <v>0</v>
      </c>
      <c r="I136" s="61"/>
      <c r="J136" s="63"/>
      <c r="K136" s="55"/>
      <c r="L136" s="55"/>
      <c r="M136" s="92"/>
      <c r="N136" s="40"/>
      <c r="O136" s="45"/>
      <c r="Q136" s="40"/>
    </row>
    <row r="137" spans="1:17" s="29" customFormat="1" ht="12.75">
      <c r="A137" s="1"/>
      <c r="B137" s="7">
        <v>97</v>
      </c>
      <c r="C137" s="47" t="s">
        <v>9</v>
      </c>
      <c r="D137" s="9" t="s">
        <v>195</v>
      </c>
      <c r="E137" s="47" t="s">
        <v>10</v>
      </c>
      <c r="F137" s="67">
        <f>(F128)*0.03</f>
        <v>2.58</v>
      </c>
      <c r="G137" s="140"/>
      <c r="H137" s="10">
        <f t="shared" si="38"/>
        <v>0</v>
      </c>
      <c r="I137" s="61"/>
      <c r="J137" s="63"/>
      <c r="K137" s="55"/>
      <c r="L137" s="55"/>
      <c r="M137" s="92"/>
      <c r="N137" s="40"/>
      <c r="O137" s="45"/>
      <c r="Q137" s="40"/>
    </row>
    <row r="138" spans="1:17" s="29" customFormat="1" ht="13.5" thickBot="1">
      <c r="A138" s="1"/>
      <c r="B138" s="98">
        <v>98</v>
      </c>
      <c r="C138" s="99" t="s">
        <v>9</v>
      </c>
      <c r="D138" s="100" t="s">
        <v>30</v>
      </c>
      <c r="E138" s="99" t="s">
        <v>11</v>
      </c>
      <c r="F138" s="102">
        <f>10*(F128)/10000</f>
        <v>0.086</v>
      </c>
      <c r="G138" s="141"/>
      <c r="H138" s="103">
        <f t="shared" si="38"/>
        <v>0</v>
      </c>
      <c r="I138" s="61"/>
      <c r="K138" s="55"/>
      <c r="L138" s="55"/>
      <c r="M138" s="92"/>
      <c r="N138" s="40"/>
      <c r="O138" s="45"/>
      <c r="Q138" s="40"/>
    </row>
    <row r="139" spans="1:17" ht="13.5" customHeight="1" thickBot="1">
      <c r="A139" s="4"/>
      <c r="C139" s="85"/>
      <c r="D139" s="11" t="s">
        <v>196</v>
      </c>
      <c r="E139" s="4"/>
      <c r="F139" s="124"/>
      <c r="G139" s="124"/>
      <c r="H139" s="146">
        <f>SUM(H128:H138)</f>
        <v>0</v>
      </c>
      <c r="I139" s="71"/>
      <c r="J139" s="3"/>
      <c r="K139" s="4"/>
      <c r="L139" s="3"/>
      <c r="M139" s="4"/>
      <c r="N139" s="3"/>
      <c r="O139" s="3"/>
      <c r="Q139" s="3"/>
    </row>
    <row r="140" spans="1:17" s="11" customFormat="1" ht="12.75">
      <c r="A140" s="3"/>
      <c r="B140" s="16"/>
      <c r="C140" s="31"/>
      <c r="D140" s="15"/>
      <c r="E140" s="16"/>
      <c r="F140" s="68"/>
      <c r="G140" s="68"/>
      <c r="H140" s="18"/>
      <c r="I140" s="121"/>
      <c r="J140" s="63"/>
      <c r="K140" s="53"/>
      <c r="L140" s="60"/>
      <c r="M140" s="31"/>
      <c r="N140" s="41"/>
      <c r="O140" s="46"/>
      <c r="Q140" s="41"/>
    </row>
    <row r="141" spans="1:17" s="11" customFormat="1" ht="12.75">
      <c r="A141" s="3"/>
      <c r="B141" s="16"/>
      <c r="C141" s="31"/>
      <c r="D141" s="15"/>
      <c r="E141" s="16"/>
      <c r="F141" s="68"/>
      <c r="G141" s="68"/>
      <c r="H141" s="18"/>
      <c r="I141" s="121"/>
      <c r="J141" s="63"/>
      <c r="K141" s="53"/>
      <c r="L141" s="60"/>
      <c r="M141" s="31"/>
      <c r="N141" s="41"/>
      <c r="O141" s="46"/>
      <c r="Q141" s="41"/>
    </row>
    <row r="142" spans="1:17" s="11" customFormat="1" ht="12.75">
      <c r="A142" s="3"/>
      <c r="B142" s="16"/>
      <c r="C142" s="31"/>
      <c r="D142" s="15"/>
      <c r="E142" s="16"/>
      <c r="F142" s="68"/>
      <c r="G142" s="68"/>
      <c r="H142" s="18"/>
      <c r="I142" s="121"/>
      <c r="J142" s="63"/>
      <c r="K142" s="53"/>
      <c r="L142" s="60"/>
      <c r="M142" s="31"/>
      <c r="N142" s="41"/>
      <c r="O142" s="46"/>
      <c r="Q142" s="41"/>
    </row>
    <row r="143" spans="1:17" s="11" customFormat="1" ht="12.75">
      <c r="A143" s="3"/>
      <c r="B143" s="16"/>
      <c r="C143" s="31"/>
      <c r="D143" s="15"/>
      <c r="E143" s="16"/>
      <c r="F143" s="68"/>
      <c r="G143" s="68"/>
      <c r="H143" s="18"/>
      <c r="I143" s="121"/>
      <c r="J143" s="63"/>
      <c r="K143" s="53"/>
      <c r="L143" s="60"/>
      <c r="M143" s="31"/>
      <c r="N143" s="41"/>
      <c r="O143" s="46"/>
      <c r="Q143" s="41"/>
    </row>
    <row r="144" spans="1:17" s="11" customFormat="1" ht="12.75">
      <c r="A144" s="3"/>
      <c r="B144" s="16"/>
      <c r="C144" s="31"/>
      <c r="D144" s="15"/>
      <c r="E144" s="16"/>
      <c r="F144" s="68"/>
      <c r="G144" s="68"/>
      <c r="H144" s="18"/>
      <c r="I144" s="121"/>
      <c r="J144" s="63"/>
      <c r="K144" s="53"/>
      <c r="L144" s="60"/>
      <c r="M144" s="31"/>
      <c r="N144" s="41"/>
      <c r="O144" s="46"/>
      <c r="Q144" s="41"/>
    </row>
    <row r="145" spans="1:14" s="11" customFormat="1" ht="13.5" thickBot="1">
      <c r="A145" s="3"/>
      <c r="B145" s="1" t="s">
        <v>3</v>
      </c>
      <c r="C145" s="2" t="s">
        <v>48</v>
      </c>
      <c r="D145" s="15"/>
      <c r="E145" s="1" t="s">
        <v>4</v>
      </c>
      <c r="F145" s="62" t="s">
        <v>5</v>
      </c>
      <c r="G145" s="62" t="s">
        <v>6</v>
      </c>
      <c r="H145" s="14" t="s">
        <v>7</v>
      </c>
      <c r="I145" s="28"/>
      <c r="J145" s="31"/>
      <c r="L145" s="31"/>
      <c r="N145" s="31"/>
    </row>
    <row r="146" spans="2:14" s="11" customFormat="1" ht="12.75">
      <c r="B146" s="72"/>
      <c r="C146" s="73" t="s">
        <v>49</v>
      </c>
      <c r="D146" s="36"/>
      <c r="E146" s="74"/>
      <c r="F146" s="75"/>
      <c r="G146" s="75"/>
      <c r="H146" s="76"/>
      <c r="I146" s="28"/>
      <c r="J146" s="31"/>
      <c r="L146" s="31"/>
      <c r="N146" s="31"/>
    </row>
    <row r="147" spans="2:14" s="11" customFormat="1" ht="12.75">
      <c r="B147" s="7">
        <v>99</v>
      </c>
      <c r="C147" s="94" t="s">
        <v>50</v>
      </c>
      <c r="D147" s="48" t="s">
        <v>213</v>
      </c>
      <c r="E147" s="47" t="s">
        <v>0</v>
      </c>
      <c r="F147" s="67">
        <f>+(3*35*3.15*0.75*0.75)</f>
        <v>186.046875</v>
      </c>
      <c r="G147" s="140"/>
      <c r="H147" s="10">
        <f>G147*F147</f>
        <v>0</v>
      </c>
      <c r="I147" s="129"/>
      <c r="J147" s="31"/>
      <c r="L147" s="31"/>
      <c r="N147" s="31"/>
    </row>
    <row r="148" spans="2:14" s="11" customFormat="1" ht="12.75">
      <c r="B148" s="7">
        <v>100</v>
      </c>
      <c r="C148" s="94" t="s">
        <v>51</v>
      </c>
      <c r="D148" s="48" t="s">
        <v>52</v>
      </c>
      <c r="E148" s="47" t="s">
        <v>14</v>
      </c>
      <c r="F148" s="67">
        <f>35*10*100/1000</f>
        <v>35</v>
      </c>
      <c r="G148" s="140"/>
      <c r="H148" s="10">
        <f>G148*F148</f>
        <v>0</v>
      </c>
      <c r="I148" s="28"/>
      <c r="J148" s="31"/>
      <c r="L148" s="31"/>
      <c r="N148" s="31"/>
    </row>
    <row r="149" spans="2:14" s="11" customFormat="1" ht="12.75">
      <c r="B149" s="7">
        <v>101</v>
      </c>
      <c r="C149" s="94" t="s">
        <v>23</v>
      </c>
      <c r="D149" s="9" t="s">
        <v>53</v>
      </c>
      <c r="E149" s="47" t="s">
        <v>14</v>
      </c>
      <c r="F149" s="67">
        <f>+F148</f>
        <v>35</v>
      </c>
      <c r="G149" s="140"/>
      <c r="H149" s="10">
        <f>G149*F149</f>
        <v>0</v>
      </c>
      <c r="I149" s="28"/>
      <c r="J149" s="31"/>
      <c r="L149" s="31"/>
      <c r="N149" s="31"/>
    </row>
    <row r="150" spans="2:14" s="11" customFormat="1" ht="12.75">
      <c r="B150" s="7">
        <v>102</v>
      </c>
      <c r="C150" s="94" t="s">
        <v>24</v>
      </c>
      <c r="D150" s="9" t="s">
        <v>25</v>
      </c>
      <c r="E150" s="47" t="s">
        <v>14</v>
      </c>
      <c r="F150" s="67">
        <f>+F149</f>
        <v>35</v>
      </c>
      <c r="G150" s="140"/>
      <c r="H150" s="10">
        <f>G150*F150</f>
        <v>0</v>
      </c>
      <c r="I150" s="28"/>
      <c r="J150" s="31"/>
      <c r="L150" s="31"/>
      <c r="N150" s="31"/>
    </row>
    <row r="151" spans="2:14" s="11" customFormat="1" ht="12.75">
      <c r="B151" s="7"/>
      <c r="C151" s="77" t="s">
        <v>54</v>
      </c>
      <c r="D151" s="48"/>
      <c r="E151" s="47"/>
      <c r="F151" s="67"/>
      <c r="G151" s="67"/>
      <c r="H151" s="10"/>
      <c r="I151" s="28"/>
      <c r="J151" s="31"/>
      <c r="K151" s="78"/>
      <c r="L151" s="31"/>
      <c r="N151" s="31"/>
    </row>
    <row r="152" spans="2:12" s="29" customFormat="1" ht="25.5">
      <c r="B152" s="7">
        <v>103</v>
      </c>
      <c r="C152" s="93" t="s">
        <v>212</v>
      </c>
      <c r="D152" s="9" t="s">
        <v>214</v>
      </c>
      <c r="E152" s="47" t="s">
        <v>0</v>
      </c>
      <c r="F152" s="67">
        <f>+(3*15+3*6*3.15*0.75*0.75)</f>
        <v>76.89375</v>
      </c>
      <c r="G152" s="140"/>
      <c r="H152" s="10">
        <f>G152*F152</f>
        <v>0</v>
      </c>
      <c r="I152" s="71"/>
      <c r="K152" s="91"/>
      <c r="L152" s="92"/>
    </row>
    <row r="153" spans="2:14" s="11" customFormat="1" ht="12.75">
      <c r="B153" s="7">
        <v>104</v>
      </c>
      <c r="C153" s="94" t="s">
        <v>51</v>
      </c>
      <c r="D153" s="48" t="s">
        <v>55</v>
      </c>
      <c r="E153" s="47" t="s">
        <v>14</v>
      </c>
      <c r="F153" s="67">
        <f>(F152/3)*10*20/1000</f>
        <v>5.12625</v>
      </c>
      <c r="G153" s="140"/>
      <c r="H153" s="10">
        <f>G153*F153</f>
        <v>0</v>
      </c>
      <c r="I153" s="28"/>
      <c r="J153" s="31"/>
      <c r="L153" s="31"/>
      <c r="N153" s="31"/>
    </row>
    <row r="154" spans="2:14" s="11" customFormat="1" ht="12.75">
      <c r="B154" s="7">
        <v>105</v>
      </c>
      <c r="C154" s="94" t="s">
        <v>23</v>
      </c>
      <c r="D154" s="9" t="s">
        <v>53</v>
      </c>
      <c r="E154" s="47" t="s">
        <v>14</v>
      </c>
      <c r="F154" s="67">
        <f>F153</f>
        <v>5.12625</v>
      </c>
      <c r="G154" s="140"/>
      <c r="H154" s="10">
        <f>G154*F154</f>
        <v>0</v>
      </c>
      <c r="I154" s="28"/>
      <c r="J154" s="31"/>
      <c r="L154" s="31"/>
      <c r="N154" s="31"/>
    </row>
    <row r="155" spans="2:17" ht="13.5" thickBot="1">
      <c r="B155" s="98">
        <v>106</v>
      </c>
      <c r="C155" s="115" t="s">
        <v>24</v>
      </c>
      <c r="D155" s="100" t="s">
        <v>25</v>
      </c>
      <c r="E155" s="101" t="s">
        <v>14</v>
      </c>
      <c r="F155" s="107">
        <f>+F154</f>
        <v>5.12625</v>
      </c>
      <c r="G155" s="141"/>
      <c r="H155" s="103">
        <f>G155*F155</f>
        <v>0</v>
      </c>
      <c r="I155" s="129"/>
      <c r="J155" s="4"/>
      <c r="K155" s="116"/>
      <c r="L155" s="117"/>
      <c r="N155" s="4"/>
      <c r="O155" s="3"/>
      <c r="Q155" s="3"/>
    </row>
    <row r="156" spans="2:14" s="11" customFormat="1" ht="13.5" thickBot="1">
      <c r="B156" s="1"/>
      <c r="C156" s="79"/>
      <c r="D156" s="15" t="s">
        <v>64</v>
      </c>
      <c r="E156" s="1"/>
      <c r="F156" s="62"/>
      <c r="G156" s="13"/>
      <c r="H156" s="145">
        <f>SUM(H147:H155)</f>
        <v>0</v>
      </c>
      <c r="I156" s="71"/>
      <c r="J156" s="31"/>
      <c r="L156" s="31"/>
      <c r="N156" s="31"/>
    </row>
    <row r="157" spans="2:14" s="11" customFormat="1" ht="12.75">
      <c r="B157" s="1"/>
      <c r="C157" s="79"/>
      <c r="D157" s="15"/>
      <c r="E157" s="1"/>
      <c r="F157" s="62"/>
      <c r="G157" s="13"/>
      <c r="H157" s="26"/>
      <c r="I157" s="28"/>
      <c r="J157" s="31"/>
      <c r="L157" s="31"/>
      <c r="N157" s="31"/>
    </row>
    <row r="158" spans="1:14" s="11" customFormat="1" ht="13.5" thickBot="1">
      <c r="A158" s="3"/>
      <c r="B158" s="1" t="s">
        <v>3</v>
      </c>
      <c r="C158" s="2" t="s">
        <v>56</v>
      </c>
      <c r="D158" s="15"/>
      <c r="E158" s="1" t="s">
        <v>4</v>
      </c>
      <c r="F158" s="62" t="s">
        <v>5</v>
      </c>
      <c r="G158" s="62" t="s">
        <v>6</v>
      </c>
      <c r="H158" s="14" t="s">
        <v>7</v>
      </c>
      <c r="I158" s="28"/>
      <c r="J158" s="31"/>
      <c r="L158" s="31"/>
      <c r="N158" s="31"/>
    </row>
    <row r="159" spans="2:14" s="11" customFormat="1" ht="12.75">
      <c r="B159" s="72"/>
      <c r="C159" s="73" t="s">
        <v>49</v>
      </c>
      <c r="D159" s="36"/>
      <c r="E159" s="74"/>
      <c r="F159" s="75"/>
      <c r="G159" s="75"/>
      <c r="H159" s="76"/>
      <c r="I159" s="28"/>
      <c r="J159" s="31"/>
      <c r="L159" s="31"/>
      <c r="N159" s="31"/>
    </row>
    <row r="160" spans="2:14" s="11" customFormat="1" ht="12.75">
      <c r="B160" s="7">
        <v>107</v>
      </c>
      <c r="C160" s="94" t="s">
        <v>57</v>
      </c>
      <c r="D160" s="48" t="s">
        <v>58</v>
      </c>
      <c r="E160" s="47" t="s">
        <v>1</v>
      </c>
      <c r="F160" s="67">
        <v>35</v>
      </c>
      <c r="G160" s="140"/>
      <c r="H160" s="10">
        <f aca="true" t="shared" si="39" ref="H160:H171">G160*F160</f>
        <v>0</v>
      </c>
      <c r="I160" s="28"/>
      <c r="J160" s="31"/>
      <c r="L160" s="31"/>
      <c r="N160" s="31"/>
    </row>
    <row r="161" spans="2:14" s="11" customFormat="1" ht="12.75">
      <c r="B161" s="7">
        <v>108</v>
      </c>
      <c r="C161" s="94" t="s">
        <v>59</v>
      </c>
      <c r="D161" s="48" t="s">
        <v>215</v>
      </c>
      <c r="E161" s="47" t="s">
        <v>1</v>
      </c>
      <c r="F161" s="67">
        <f>+(35*3*0.3)</f>
        <v>31.5</v>
      </c>
      <c r="G161" s="140"/>
      <c r="H161" s="10">
        <f t="shared" si="39"/>
        <v>0</v>
      </c>
      <c r="I161" s="28"/>
      <c r="J161" s="31"/>
      <c r="L161" s="31"/>
      <c r="N161" s="31"/>
    </row>
    <row r="162" spans="2:14" s="11" customFormat="1" ht="12.75">
      <c r="B162" s="7">
        <v>109</v>
      </c>
      <c r="C162" s="94" t="s">
        <v>47</v>
      </c>
      <c r="D162" s="48" t="s">
        <v>216</v>
      </c>
      <c r="E162" s="47" t="s">
        <v>1</v>
      </c>
      <c r="F162" s="67">
        <f>+(F160*3*0.3)</f>
        <v>31.5</v>
      </c>
      <c r="G162" s="140"/>
      <c r="H162" s="10">
        <f t="shared" si="39"/>
        <v>0</v>
      </c>
      <c r="I162" s="28"/>
      <c r="J162" s="31"/>
      <c r="L162" s="31"/>
      <c r="N162" s="31"/>
    </row>
    <row r="163" spans="2:17" ht="12.75">
      <c r="B163" s="7">
        <v>110</v>
      </c>
      <c r="C163" s="94" t="s">
        <v>9</v>
      </c>
      <c r="D163" s="9" t="s">
        <v>60</v>
      </c>
      <c r="E163" s="8" t="s">
        <v>1</v>
      </c>
      <c r="F163" s="67">
        <f>+F162</f>
        <v>31.5</v>
      </c>
      <c r="G163" s="140"/>
      <c r="H163" s="10">
        <f t="shared" si="39"/>
        <v>0</v>
      </c>
      <c r="I163" s="28"/>
      <c r="J163" s="4"/>
      <c r="K163" s="3"/>
      <c r="L163" s="4"/>
      <c r="N163" s="4"/>
      <c r="O163" s="3"/>
      <c r="Q163" s="3"/>
    </row>
    <row r="164" spans="2:14" s="11" customFormat="1" ht="12.75">
      <c r="B164" s="7">
        <v>111</v>
      </c>
      <c r="C164" s="94" t="s">
        <v>50</v>
      </c>
      <c r="D164" s="48" t="s">
        <v>213</v>
      </c>
      <c r="E164" s="47" t="s">
        <v>0</v>
      </c>
      <c r="F164" s="67">
        <f>+(3*35*3.15*0.75*0.75)</f>
        <v>186.046875</v>
      </c>
      <c r="G164" s="140"/>
      <c r="H164" s="10">
        <f>G164*F164</f>
        <v>0</v>
      </c>
      <c r="I164" s="28"/>
      <c r="J164" s="31"/>
      <c r="L164" s="31"/>
      <c r="N164" s="31"/>
    </row>
    <row r="165" spans="2:14" s="11" customFormat="1" ht="12.75">
      <c r="B165" s="7">
        <v>112</v>
      </c>
      <c r="C165" s="94" t="s">
        <v>51</v>
      </c>
      <c r="D165" s="48" t="s">
        <v>52</v>
      </c>
      <c r="E165" s="47" t="s">
        <v>14</v>
      </c>
      <c r="F165" s="67">
        <f>F160*10*100/1000</f>
        <v>35</v>
      </c>
      <c r="G165" s="140"/>
      <c r="H165" s="10">
        <f>G165*F165</f>
        <v>0</v>
      </c>
      <c r="I165" s="28"/>
      <c r="J165" s="31"/>
      <c r="L165" s="31"/>
      <c r="N165" s="31"/>
    </row>
    <row r="166" spans="2:14" s="11" customFormat="1" ht="12.75">
      <c r="B166" s="7">
        <v>113</v>
      </c>
      <c r="C166" s="94" t="s">
        <v>23</v>
      </c>
      <c r="D166" s="9" t="s">
        <v>53</v>
      </c>
      <c r="E166" s="47" t="s">
        <v>14</v>
      </c>
      <c r="F166" s="67">
        <f>+F165</f>
        <v>35</v>
      </c>
      <c r="G166" s="140"/>
      <c r="H166" s="10">
        <f>G166*F166</f>
        <v>0</v>
      </c>
      <c r="I166" s="28"/>
      <c r="J166" s="31"/>
      <c r="L166" s="31"/>
      <c r="N166" s="31"/>
    </row>
    <row r="167" spans="2:14" s="11" customFormat="1" ht="12.75">
      <c r="B167" s="7">
        <v>114</v>
      </c>
      <c r="C167" s="94" t="s">
        <v>24</v>
      </c>
      <c r="D167" s="9" t="s">
        <v>25</v>
      </c>
      <c r="E167" s="47" t="s">
        <v>14</v>
      </c>
      <c r="F167" s="67">
        <f>+F166</f>
        <v>35</v>
      </c>
      <c r="G167" s="140"/>
      <c r="H167" s="10">
        <f>G167*F167</f>
        <v>0</v>
      </c>
      <c r="I167" s="28"/>
      <c r="J167" s="31"/>
      <c r="L167" s="31"/>
      <c r="N167" s="31"/>
    </row>
    <row r="168" spans="2:12" s="29" customFormat="1" ht="25.5">
      <c r="B168" s="7">
        <v>115</v>
      </c>
      <c r="C168" s="93" t="s">
        <v>22</v>
      </c>
      <c r="D168" s="9" t="s">
        <v>61</v>
      </c>
      <c r="E168" s="47" t="s">
        <v>8</v>
      </c>
      <c r="F168" s="137">
        <f>(F165*100)*0.001*0.001</f>
        <v>0.0035</v>
      </c>
      <c r="G168" s="140"/>
      <c r="H168" s="10">
        <f t="shared" si="39"/>
        <v>0</v>
      </c>
      <c r="I168" s="28"/>
      <c r="K168" s="91"/>
      <c r="L168" s="92"/>
    </row>
    <row r="169" spans="1:17" ht="12.75">
      <c r="A169" s="11"/>
      <c r="B169" s="7">
        <v>116</v>
      </c>
      <c r="C169" s="94" t="s">
        <v>9</v>
      </c>
      <c r="D169" s="9" t="s">
        <v>62</v>
      </c>
      <c r="E169" s="8" t="s">
        <v>10</v>
      </c>
      <c r="F169" s="70">
        <f>+F168*1000</f>
        <v>3.5</v>
      </c>
      <c r="G169" s="140"/>
      <c r="H169" s="10">
        <f t="shared" si="39"/>
        <v>0</v>
      </c>
      <c r="I169" s="28"/>
      <c r="J169" s="4"/>
      <c r="K169" s="97"/>
      <c r="L169" s="117"/>
      <c r="N169" s="4"/>
      <c r="O169" s="3"/>
      <c r="Q169" s="3"/>
    </row>
    <row r="170" spans="2:12" s="29" customFormat="1" ht="25.5">
      <c r="B170" s="7">
        <v>117</v>
      </c>
      <c r="C170" s="93" t="s">
        <v>21</v>
      </c>
      <c r="D170" s="9" t="s">
        <v>230</v>
      </c>
      <c r="E170" s="47" t="s">
        <v>0</v>
      </c>
      <c r="F170" s="67">
        <f>+(35*3.14*0.75*0.75)</f>
        <v>61.81875000000001</v>
      </c>
      <c r="G170" s="140"/>
      <c r="H170" s="10">
        <f t="shared" si="39"/>
        <v>0</v>
      </c>
      <c r="I170" s="129"/>
      <c r="J170" s="118"/>
      <c r="K170" s="91"/>
      <c r="L170" s="92"/>
    </row>
    <row r="171" spans="2:17" ht="12.75">
      <c r="B171" s="7">
        <v>118</v>
      </c>
      <c r="C171" s="94" t="s">
        <v>9</v>
      </c>
      <c r="D171" s="9" t="s">
        <v>226</v>
      </c>
      <c r="E171" s="8" t="s">
        <v>14</v>
      </c>
      <c r="F171" s="67">
        <f>(F170)*0.05</f>
        <v>3.090937500000001</v>
      </c>
      <c r="G171" s="140"/>
      <c r="H171" s="10">
        <f t="shared" si="39"/>
        <v>0</v>
      </c>
      <c r="I171" s="28"/>
      <c r="J171" s="4"/>
      <c r="K171" s="3"/>
      <c r="L171" s="4"/>
      <c r="N171" s="4"/>
      <c r="O171" s="3"/>
      <c r="Q171" s="3"/>
    </row>
    <row r="172" spans="2:17" ht="25.5">
      <c r="B172" s="7">
        <v>119</v>
      </c>
      <c r="C172" s="94" t="s">
        <v>26</v>
      </c>
      <c r="D172" s="9" t="s">
        <v>27</v>
      </c>
      <c r="E172" s="96" t="s">
        <v>8</v>
      </c>
      <c r="F172" s="67">
        <f>F171*0.3+F168+F163*0.003</f>
        <v>1.0252812500000001</v>
      </c>
      <c r="G172" s="140"/>
      <c r="H172" s="10">
        <f>G172*F172</f>
        <v>0</v>
      </c>
      <c r="I172" s="28"/>
      <c r="J172" s="3"/>
      <c r="K172" s="97"/>
      <c r="L172" s="4"/>
      <c r="N172" s="4"/>
      <c r="O172" s="3"/>
      <c r="Q172" s="3"/>
    </row>
    <row r="173" spans="2:14" s="11" customFormat="1" ht="12.75">
      <c r="B173" s="7"/>
      <c r="C173" s="77" t="s">
        <v>54</v>
      </c>
      <c r="D173" s="48"/>
      <c r="E173" s="47"/>
      <c r="F173" s="67"/>
      <c r="G173" s="67"/>
      <c r="H173" s="10"/>
      <c r="I173" s="28"/>
      <c r="J173" s="31"/>
      <c r="L173" s="31"/>
      <c r="N173" s="31"/>
    </row>
    <row r="174" spans="2:12" s="29" customFormat="1" ht="25.5">
      <c r="B174" s="7">
        <v>120</v>
      </c>
      <c r="C174" s="93" t="s">
        <v>212</v>
      </c>
      <c r="D174" s="9" t="s">
        <v>214</v>
      </c>
      <c r="E174" s="47" t="s">
        <v>0</v>
      </c>
      <c r="F174" s="67">
        <f>+(3*15+3*6*3.15*0.75*0.75)</f>
        <v>76.89375</v>
      </c>
      <c r="G174" s="140"/>
      <c r="H174" s="10">
        <f>G174*F174</f>
        <v>0</v>
      </c>
      <c r="I174" s="71"/>
      <c r="K174" s="91"/>
      <c r="L174" s="92"/>
    </row>
    <row r="175" spans="2:12" s="29" customFormat="1" ht="25.5">
      <c r="B175" s="7">
        <v>121</v>
      </c>
      <c r="C175" s="94" t="s">
        <v>22</v>
      </c>
      <c r="D175" s="9" t="s">
        <v>63</v>
      </c>
      <c r="E175" s="47" t="s">
        <v>8</v>
      </c>
      <c r="F175" s="108">
        <f>(F174/3*20)*0.001*0.001</f>
        <v>0.0005126250000000001</v>
      </c>
      <c r="G175" s="140"/>
      <c r="H175" s="10">
        <f>G175*F175</f>
        <v>0</v>
      </c>
      <c r="I175" s="28"/>
      <c r="K175" s="91"/>
      <c r="L175" s="92"/>
    </row>
    <row r="176" spans="2:14" s="11" customFormat="1" ht="12.75">
      <c r="B176" s="7">
        <v>122</v>
      </c>
      <c r="C176" s="94" t="s">
        <v>9</v>
      </c>
      <c r="D176" s="9" t="s">
        <v>62</v>
      </c>
      <c r="E176" s="8" t="s">
        <v>10</v>
      </c>
      <c r="F176" s="70">
        <f>+F175*1000</f>
        <v>0.5126250000000001</v>
      </c>
      <c r="G176" s="140"/>
      <c r="H176" s="10">
        <f aca="true" t="shared" si="40" ref="H176:H181">G176*F176</f>
        <v>0</v>
      </c>
      <c r="I176" s="28"/>
      <c r="J176" s="4"/>
      <c r="L176" s="31"/>
      <c r="N176" s="31"/>
    </row>
    <row r="177" spans="2:14" s="11" customFormat="1" ht="12.75">
      <c r="B177" s="7">
        <v>123</v>
      </c>
      <c r="C177" s="94" t="s">
        <v>51</v>
      </c>
      <c r="D177" s="48" t="s">
        <v>55</v>
      </c>
      <c r="E177" s="47" t="s">
        <v>14</v>
      </c>
      <c r="F177" s="70">
        <f>(F174/3)*10*20/1000</f>
        <v>5.12625</v>
      </c>
      <c r="G177" s="140"/>
      <c r="H177" s="10">
        <f>G177*F177</f>
        <v>0</v>
      </c>
      <c r="I177" s="28"/>
      <c r="J177" s="31"/>
      <c r="L177" s="31"/>
      <c r="N177" s="31"/>
    </row>
    <row r="178" spans="2:14" s="11" customFormat="1" ht="12.75">
      <c r="B178" s="7">
        <v>124</v>
      </c>
      <c r="C178" s="94" t="s">
        <v>23</v>
      </c>
      <c r="D178" s="9" t="s">
        <v>53</v>
      </c>
      <c r="E178" s="47" t="s">
        <v>14</v>
      </c>
      <c r="F178" s="70">
        <f>F177</f>
        <v>5.12625</v>
      </c>
      <c r="G178" s="140"/>
      <c r="H178" s="10">
        <f>G178*F178</f>
        <v>0</v>
      </c>
      <c r="I178" s="28"/>
      <c r="J178" s="31"/>
      <c r="L178" s="31"/>
      <c r="N178" s="31"/>
    </row>
    <row r="179" spans="2:17" ht="12.75">
      <c r="B179" s="7">
        <v>125</v>
      </c>
      <c r="C179" s="94" t="s">
        <v>24</v>
      </c>
      <c r="D179" s="9" t="s">
        <v>25</v>
      </c>
      <c r="E179" s="8" t="s">
        <v>14</v>
      </c>
      <c r="F179" s="70">
        <f>+F178</f>
        <v>5.12625</v>
      </c>
      <c r="G179" s="140"/>
      <c r="H179" s="10">
        <f>G179*F179</f>
        <v>0</v>
      </c>
      <c r="I179" s="129"/>
      <c r="J179" s="4"/>
      <c r="K179" s="116"/>
      <c r="L179" s="117"/>
      <c r="N179" s="4"/>
      <c r="O179" s="3"/>
      <c r="Q179" s="3"/>
    </row>
    <row r="180" spans="2:17" s="29" customFormat="1" ht="12.75">
      <c r="B180" s="7">
        <v>126</v>
      </c>
      <c r="C180" s="47" t="s">
        <v>21</v>
      </c>
      <c r="D180" s="9" t="s">
        <v>227</v>
      </c>
      <c r="E180" s="47" t="s">
        <v>0</v>
      </c>
      <c r="F180" s="67">
        <f>+(F174/3)</f>
        <v>25.631249999999998</v>
      </c>
      <c r="G180" s="140"/>
      <c r="H180" s="10">
        <f aca="true" t="shared" si="41" ref="H180">G180*F180</f>
        <v>0</v>
      </c>
      <c r="I180" s="120"/>
      <c r="K180" s="55"/>
      <c r="L180" s="55"/>
      <c r="M180" s="92"/>
      <c r="N180" s="40"/>
      <c r="O180" s="45"/>
      <c r="Q180" s="40"/>
    </row>
    <row r="181" spans="2:17" ht="12.75">
      <c r="B181" s="7">
        <v>127</v>
      </c>
      <c r="C181" s="94" t="s">
        <v>9</v>
      </c>
      <c r="D181" s="9" t="s">
        <v>228</v>
      </c>
      <c r="E181" s="8" t="s">
        <v>14</v>
      </c>
      <c r="F181" s="67">
        <f>+F180*0.05</f>
        <v>1.2815625</v>
      </c>
      <c r="G181" s="140"/>
      <c r="H181" s="10">
        <f t="shared" si="40"/>
        <v>0</v>
      </c>
      <c r="I181" s="28"/>
      <c r="J181" s="4"/>
      <c r="K181" s="3"/>
      <c r="L181" s="4"/>
      <c r="N181" s="4"/>
      <c r="O181" s="3"/>
      <c r="Q181" s="3"/>
    </row>
    <row r="182" spans="2:17" ht="26.25" thickBot="1">
      <c r="B182" s="98">
        <v>128</v>
      </c>
      <c r="C182" s="115" t="s">
        <v>26</v>
      </c>
      <c r="D182" s="100" t="s">
        <v>27</v>
      </c>
      <c r="E182" s="119" t="s">
        <v>8</v>
      </c>
      <c r="F182" s="102">
        <f>F181*0.3+F175</f>
        <v>0.38498137499999996</v>
      </c>
      <c r="G182" s="141"/>
      <c r="H182" s="103">
        <f>G182*F182</f>
        <v>0</v>
      </c>
      <c r="I182" s="129"/>
      <c r="J182" s="3"/>
      <c r="K182" s="97"/>
      <c r="L182" s="4"/>
      <c r="N182" s="4"/>
      <c r="O182" s="3"/>
      <c r="Q182" s="3"/>
    </row>
    <row r="183" spans="2:14" s="11" customFormat="1" ht="13.5" thickBot="1">
      <c r="B183" s="1"/>
      <c r="C183" s="79"/>
      <c r="D183" s="15" t="s">
        <v>65</v>
      </c>
      <c r="E183" s="1"/>
      <c r="F183" s="62"/>
      <c r="G183" s="13"/>
      <c r="H183" s="145">
        <f>SUM(H160:H182)</f>
        <v>0</v>
      </c>
      <c r="I183" s="71"/>
      <c r="J183" s="31"/>
      <c r="L183" s="31"/>
      <c r="N183" s="31"/>
    </row>
    <row r="184" spans="2:14" s="11" customFormat="1" ht="12.75">
      <c r="B184" s="1"/>
      <c r="C184" s="79"/>
      <c r="D184" s="15"/>
      <c r="E184" s="1"/>
      <c r="F184" s="62"/>
      <c r="G184" s="13"/>
      <c r="H184" s="26"/>
      <c r="I184" s="80"/>
      <c r="J184" s="31"/>
      <c r="L184" s="31"/>
      <c r="N184" s="31"/>
    </row>
    <row r="185" spans="1:14" s="11" customFormat="1" ht="13.5" thickBot="1">
      <c r="A185" s="3"/>
      <c r="B185" s="1" t="s">
        <v>3</v>
      </c>
      <c r="C185" s="2" t="s">
        <v>204</v>
      </c>
      <c r="D185" s="15"/>
      <c r="E185" s="1" t="s">
        <v>4</v>
      </c>
      <c r="F185" s="62" t="s">
        <v>5</v>
      </c>
      <c r="G185" s="62" t="s">
        <v>6</v>
      </c>
      <c r="H185" s="14" t="s">
        <v>7</v>
      </c>
      <c r="I185" s="28"/>
      <c r="J185" s="31"/>
      <c r="L185" s="31"/>
      <c r="N185" s="31"/>
    </row>
    <row r="186" spans="2:14" s="11" customFormat="1" ht="12.75">
      <c r="B186" s="72"/>
      <c r="C186" s="73" t="s">
        <v>49</v>
      </c>
      <c r="D186" s="36"/>
      <c r="E186" s="74"/>
      <c r="F186" s="75"/>
      <c r="G186" s="75"/>
      <c r="H186" s="76"/>
      <c r="I186" s="28"/>
      <c r="J186" s="31"/>
      <c r="L186" s="31"/>
      <c r="N186" s="31"/>
    </row>
    <row r="187" spans="2:14" s="11" customFormat="1" ht="12.75">
      <c r="B187" s="7">
        <v>129</v>
      </c>
      <c r="C187" s="94" t="s">
        <v>207</v>
      </c>
      <c r="D187" s="48" t="s">
        <v>206</v>
      </c>
      <c r="E187" s="47" t="s">
        <v>1</v>
      </c>
      <c r="F187" s="67">
        <v>1</v>
      </c>
      <c r="G187" s="140"/>
      <c r="H187" s="10">
        <f>G187*F187</f>
        <v>0</v>
      </c>
      <c r="I187" s="28"/>
      <c r="J187" s="31"/>
      <c r="L187" s="31"/>
      <c r="N187" s="31"/>
    </row>
    <row r="188" spans="2:14" s="11" customFormat="1" ht="12.75">
      <c r="B188" s="7">
        <v>130</v>
      </c>
      <c r="C188" s="94" t="s">
        <v>209</v>
      </c>
      <c r="D188" s="48" t="s">
        <v>208</v>
      </c>
      <c r="E188" s="47" t="s">
        <v>1</v>
      </c>
      <c r="F188" s="67">
        <v>34</v>
      </c>
      <c r="G188" s="140"/>
      <c r="H188" s="10">
        <f>G188*F188</f>
        <v>0</v>
      </c>
      <c r="I188" s="28"/>
      <c r="J188" s="31"/>
      <c r="L188" s="31"/>
      <c r="N188" s="31"/>
    </row>
    <row r="189" spans="2:14" s="11" customFormat="1" ht="12.75">
      <c r="B189" s="7">
        <v>131</v>
      </c>
      <c r="C189" s="94" t="s">
        <v>211</v>
      </c>
      <c r="D189" s="9" t="s">
        <v>210</v>
      </c>
      <c r="E189" s="47" t="s">
        <v>0</v>
      </c>
      <c r="F189" s="67">
        <f>+F84+F85</f>
        <v>19.2</v>
      </c>
      <c r="G189" s="140"/>
      <c r="H189" s="10">
        <f>G189*F189</f>
        <v>0</v>
      </c>
      <c r="I189" s="129"/>
      <c r="J189" s="31"/>
      <c r="L189" s="31"/>
      <c r="N189" s="31"/>
    </row>
    <row r="190" spans="2:14" s="11" customFormat="1" ht="13.5" thickBot="1">
      <c r="B190" s="98">
        <v>132</v>
      </c>
      <c r="C190" s="115" t="s">
        <v>47</v>
      </c>
      <c r="D190" s="113" t="s">
        <v>218</v>
      </c>
      <c r="E190" s="99" t="s">
        <v>1</v>
      </c>
      <c r="F190" s="102">
        <v>35</v>
      </c>
      <c r="G190" s="141"/>
      <c r="H190" s="103">
        <f>G190*F190</f>
        <v>0</v>
      </c>
      <c r="I190" s="28"/>
      <c r="J190" s="31"/>
      <c r="L190" s="31"/>
      <c r="N190" s="31"/>
    </row>
    <row r="191" spans="2:14" s="11" customFormat="1" ht="13.5" thickBot="1">
      <c r="B191" s="1"/>
      <c r="C191" s="79"/>
      <c r="D191" s="15" t="s">
        <v>205</v>
      </c>
      <c r="E191" s="1"/>
      <c r="F191" s="13"/>
      <c r="G191" s="13"/>
      <c r="H191" s="145">
        <f>SUM(H187:H190)</f>
        <v>0</v>
      </c>
      <c r="I191" s="71"/>
      <c r="J191" s="31"/>
      <c r="L191" s="31"/>
      <c r="N191" s="31"/>
    </row>
    <row r="192" spans="3:17" ht="12.75">
      <c r="C192" s="85"/>
      <c r="G192" s="13"/>
      <c r="I192" s="4"/>
      <c r="J192" s="3"/>
      <c r="K192" s="4"/>
      <c r="L192" s="3"/>
      <c r="M192" s="4"/>
      <c r="N192" s="3"/>
      <c r="O192" s="3"/>
      <c r="Q192" s="3"/>
    </row>
    <row r="193" spans="3:17" ht="12.75">
      <c r="C193" s="85"/>
      <c r="G193" s="13"/>
      <c r="I193" s="78"/>
      <c r="J193" s="4"/>
      <c r="K193" s="3"/>
      <c r="L193" s="4"/>
      <c r="N193" s="4"/>
      <c r="O193" s="3"/>
      <c r="Q193" s="3"/>
    </row>
    <row r="194" spans="3:17" ht="12.75">
      <c r="C194" s="85"/>
      <c r="G194" s="13"/>
      <c r="I194" s="78"/>
      <c r="J194" s="4"/>
      <c r="K194" s="3"/>
      <c r="L194" s="4"/>
      <c r="N194" s="4"/>
      <c r="O194" s="3"/>
      <c r="Q194" s="3"/>
    </row>
    <row r="195" spans="3:17" ht="12.75">
      <c r="C195" s="85"/>
      <c r="G195" s="13"/>
      <c r="I195" s="78"/>
      <c r="J195" s="4"/>
      <c r="K195" s="3"/>
      <c r="L195" s="4"/>
      <c r="N195" s="4"/>
      <c r="O195" s="3"/>
      <c r="Q195" s="3"/>
    </row>
    <row r="196" spans="3:17" ht="12.75">
      <c r="C196" s="85"/>
      <c r="G196" s="13"/>
      <c r="I196" s="78"/>
      <c r="J196" s="4"/>
      <c r="K196" s="3"/>
      <c r="L196" s="4"/>
      <c r="N196" s="4"/>
      <c r="O196" s="3"/>
      <c r="Q196" s="3"/>
    </row>
    <row r="197" spans="3:17" ht="12.75">
      <c r="C197" s="85"/>
      <c r="G197" s="13"/>
      <c r="I197" s="78"/>
      <c r="J197" s="4"/>
      <c r="K197" s="3"/>
      <c r="L197" s="4"/>
      <c r="N197" s="4"/>
      <c r="O197" s="3"/>
      <c r="Q197" s="3"/>
    </row>
    <row r="198" spans="3:17" ht="12.75">
      <c r="C198" s="85"/>
      <c r="G198" s="13"/>
      <c r="I198" s="78"/>
      <c r="J198" s="4"/>
      <c r="K198" s="3"/>
      <c r="L198" s="4"/>
      <c r="N198" s="4"/>
      <c r="O198" s="3"/>
      <c r="Q198" s="3"/>
    </row>
    <row r="199" spans="3:17" ht="12.75">
      <c r="C199" s="85"/>
      <c r="G199" s="13"/>
      <c r="I199" s="78"/>
      <c r="J199" s="4"/>
      <c r="K199" s="3"/>
      <c r="L199" s="4"/>
      <c r="N199" s="4"/>
      <c r="O199" s="3"/>
      <c r="Q199" s="3"/>
    </row>
    <row r="200" spans="3:17" ht="12.75">
      <c r="C200" s="85"/>
      <c r="G200" s="13"/>
      <c r="I200" s="78"/>
      <c r="J200" s="4"/>
      <c r="K200" s="3"/>
      <c r="L200" s="4"/>
      <c r="N200" s="4"/>
      <c r="O200" s="3"/>
      <c r="Q200" s="3"/>
    </row>
    <row r="201" spans="3:17" ht="12.75">
      <c r="C201" s="85"/>
      <c r="G201" s="13"/>
      <c r="I201" s="4"/>
      <c r="J201" s="3"/>
      <c r="K201" s="4"/>
      <c r="L201" s="3"/>
      <c r="M201" s="4"/>
      <c r="N201" s="3"/>
      <c r="O201" s="3"/>
      <c r="Q201" s="3"/>
    </row>
    <row r="202" spans="3:17" ht="18">
      <c r="C202" s="85"/>
      <c r="D202" s="149"/>
      <c r="E202" s="149"/>
      <c r="F202" s="149"/>
      <c r="G202" s="149"/>
      <c r="H202" s="149"/>
      <c r="I202" s="149"/>
      <c r="J202" s="149"/>
      <c r="K202" s="4"/>
      <c r="L202" s="3"/>
      <c r="M202" s="4"/>
      <c r="N202" s="3"/>
      <c r="O202" s="3"/>
      <c r="Q202" s="3"/>
    </row>
    <row r="203" spans="3:17" ht="12.75">
      <c r="C203" s="85"/>
      <c r="G203" s="13"/>
      <c r="I203" s="4"/>
      <c r="J203" s="3"/>
      <c r="K203" s="4"/>
      <c r="L203" s="3"/>
      <c r="M203" s="4"/>
      <c r="N203" s="3"/>
      <c r="O203" s="3"/>
      <c r="Q203" s="3"/>
    </row>
    <row r="204" spans="3:17" ht="12.75">
      <c r="C204" s="85"/>
      <c r="G204" s="13"/>
      <c r="I204" s="4"/>
      <c r="J204" s="3"/>
      <c r="K204" s="4"/>
      <c r="L204" s="3"/>
      <c r="M204" s="4"/>
      <c r="N204" s="3"/>
      <c r="O204" s="3"/>
      <c r="Q204" s="3"/>
    </row>
    <row r="205" spans="3:17" ht="12.75">
      <c r="C205" s="85"/>
      <c r="G205" s="13"/>
      <c r="I205" s="4"/>
      <c r="J205" s="3"/>
      <c r="K205" s="4"/>
      <c r="L205" s="3"/>
      <c r="M205" s="4"/>
      <c r="N205" s="3"/>
      <c r="O205" s="3"/>
      <c r="Q205" s="3"/>
    </row>
    <row r="206" spans="3:17" ht="12.75">
      <c r="C206" s="85"/>
      <c r="G206" s="13"/>
      <c r="I206" s="4"/>
      <c r="J206" s="3"/>
      <c r="K206" s="4"/>
      <c r="L206" s="3"/>
      <c r="M206" s="4"/>
      <c r="N206" s="3"/>
      <c r="O206" s="3"/>
      <c r="Q206" s="3"/>
    </row>
    <row r="207" spans="3:17" ht="12.75">
      <c r="C207" s="85"/>
      <c r="G207" s="13"/>
      <c r="I207" s="4"/>
      <c r="J207" s="3"/>
      <c r="K207" s="4"/>
      <c r="L207" s="3"/>
      <c r="M207" s="4"/>
      <c r="N207" s="3"/>
      <c r="O207" s="3"/>
      <c r="Q207" s="3"/>
    </row>
    <row r="208" spans="3:17" ht="12.75">
      <c r="C208" s="85"/>
      <c r="G208" s="13"/>
      <c r="I208" s="4"/>
      <c r="J208" s="3"/>
      <c r="K208" s="4"/>
      <c r="L208" s="3"/>
      <c r="M208" s="4"/>
      <c r="N208" s="3"/>
      <c r="O208" s="3"/>
      <c r="Q208" s="3"/>
    </row>
    <row r="209" spans="3:17" ht="12.75">
      <c r="C209" s="85"/>
      <c r="G209" s="13"/>
      <c r="I209" s="4"/>
      <c r="J209" s="3"/>
      <c r="K209" s="4"/>
      <c r="L209" s="3"/>
      <c r="M209" s="4"/>
      <c r="N209" s="3"/>
      <c r="O209" s="3"/>
      <c r="Q209" s="3"/>
    </row>
    <row r="210" spans="3:17" ht="12.75">
      <c r="C210" s="85"/>
      <c r="G210" s="13"/>
      <c r="I210" s="4"/>
      <c r="J210" s="3"/>
      <c r="K210" s="4"/>
      <c r="L210" s="3"/>
      <c r="M210" s="4"/>
      <c r="N210" s="3"/>
      <c r="O210" s="3"/>
      <c r="Q210" s="3"/>
    </row>
    <row r="211" spans="3:17" ht="12.75">
      <c r="C211" s="85"/>
      <c r="G211" s="13"/>
      <c r="I211" s="4"/>
      <c r="J211" s="3"/>
      <c r="K211" s="4"/>
      <c r="L211" s="3"/>
      <c r="M211" s="4"/>
      <c r="N211" s="3"/>
      <c r="O211" s="3"/>
      <c r="Q211" s="3"/>
    </row>
    <row r="212" spans="3:17" ht="12.75">
      <c r="C212" s="85"/>
      <c r="G212" s="13"/>
      <c r="I212" s="4"/>
      <c r="J212" s="3"/>
      <c r="K212" s="4"/>
      <c r="L212" s="3"/>
      <c r="M212" s="4"/>
      <c r="N212" s="3"/>
      <c r="O212" s="3"/>
      <c r="Q212" s="3"/>
    </row>
    <row r="213" spans="3:17" ht="12.75">
      <c r="C213" s="85"/>
      <c r="G213" s="13"/>
      <c r="I213" s="4"/>
      <c r="J213" s="3"/>
      <c r="K213" s="4"/>
      <c r="L213" s="3"/>
      <c r="M213" s="4"/>
      <c r="N213" s="3"/>
      <c r="O213" s="3"/>
      <c r="Q213" s="3"/>
    </row>
    <row r="214" spans="3:17" ht="12.75">
      <c r="C214" s="85"/>
      <c r="G214" s="13"/>
      <c r="I214" s="4"/>
      <c r="J214" s="3"/>
      <c r="K214" s="4"/>
      <c r="L214" s="3"/>
      <c r="M214" s="4"/>
      <c r="N214" s="3"/>
      <c r="O214" s="3"/>
      <c r="Q214" s="3"/>
    </row>
    <row r="215" spans="3:17" ht="12.75">
      <c r="C215" s="85"/>
      <c r="G215" s="13"/>
      <c r="I215" s="4"/>
      <c r="J215" s="3"/>
      <c r="K215" s="4"/>
      <c r="L215" s="3"/>
      <c r="M215" s="4"/>
      <c r="N215" s="3"/>
      <c r="O215" s="3"/>
      <c r="Q215" s="3"/>
    </row>
    <row r="216" spans="3:17" ht="12.75">
      <c r="C216" s="85"/>
      <c r="G216" s="13"/>
      <c r="I216" s="4"/>
      <c r="J216" s="3"/>
      <c r="K216" s="4"/>
      <c r="L216" s="3"/>
      <c r="M216" s="4"/>
      <c r="N216" s="3"/>
      <c r="O216" s="3"/>
      <c r="Q216" s="3"/>
    </row>
    <row r="217" spans="3:17" ht="12.75">
      <c r="C217" s="85"/>
      <c r="G217" s="13"/>
      <c r="I217" s="4"/>
      <c r="J217" s="3"/>
      <c r="K217" s="4"/>
      <c r="L217" s="3"/>
      <c r="M217" s="4"/>
      <c r="N217" s="3"/>
      <c r="O217" s="3"/>
      <c r="Q217" s="3"/>
    </row>
    <row r="218" spans="3:17" ht="12.75">
      <c r="C218" s="85"/>
      <c r="G218" s="13"/>
      <c r="I218" s="4"/>
      <c r="J218" s="3"/>
      <c r="K218" s="4"/>
      <c r="L218" s="3"/>
      <c r="M218" s="4"/>
      <c r="N218" s="3"/>
      <c r="O218" s="3"/>
      <c r="Q218" s="3"/>
    </row>
    <row r="219" spans="3:17" ht="12.75">
      <c r="C219" s="85"/>
      <c r="G219" s="13"/>
      <c r="I219" s="4"/>
      <c r="J219" s="3"/>
      <c r="K219" s="4"/>
      <c r="L219" s="3"/>
      <c r="M219" s="4"/>
      <c r="N219" s="3"/>
      <c r="O219" s="3"/>
      <c r="Q219" s="3"/>
    </row>
    <row r="220" spans="3:17" ht="12.75">
      <c r="C220" s="85"/>
      <c r="G220" s="13"/>
      <c r="I220" s="4"/>
      <c r="J220" s="3"/>
      <c r="K220" s="4"/>
      <c r="L220" s="3"/>
      <c r="M220" s="4"/>
      <c r="N220" s="3"/>
      <c r="O220" s="3"/>
      <c r="Q220" s="3"/>
    </row>
    <row r="221" spans="3:17" ht="12.75">
      <c r="C221" s="85"/>
      <c r="G221" s="13"/>
      <c r="I221" s="4"/>
      <c r="J221" s="3"/>
      <c r="K221" s="4"/>
      <c r="L221" s="3"/>
      <c r="M221" s="4"/>
      <c r="N221" s="3"/>
      <c r="O221" s="3"/>
      <c r="Q221" s="3"/>
    </row>
    <row r="222" spans="3:17" ht="12.75">
      <c r="C222" s="85"/>
      <c r="G222" s="13"/>
      <c r="I222" s="4"/>
      <c r="J222" s="3"/>
      <c r="K222" s="4"/>
      <c r="L222" s="3"/>
      <c r="M222" s="4"/>
      <c r="N222" s="3"/>
      <c r="O222" s="3"/>
      <c r="Q222" s="3"/>
    </row>
    <row r="223" spans="3:17" ht="12.75">
      <c r="C223" s="85"/>
      <c r="G223" s="13"/>
      <c r="I223" s="4"/>
      <c r="J223" s="3"/>
      <c r="K223" s="4"/>
      <c r="L223" s="3"/>
      <c r="M223" s="4"/>
      <c r="N223" s="3"/>
      <c r="O223" s="3"/>
      <c r="Q223" s="3"/>
    </row>
    <row r="224" spans="3:17" ht="12.75">
      <c r="C224" s="85"/>
      <c r="G224" s="13"/>
      <c r="I224" s="4"/>
      <c r="J224" s="3"/>
      <c r="K224" s="4"/>
      <c r="L224" s="3"/>
      <c r="M224" s="4"/>
      <c r="N224" s="3"/>
      <c r="O224" s="3"/>
      <c r="Q224" s="3"/>
    </row>
    <row r="225" spans="3:17" ht="12.75">
      <c r="C225" s="85"/>
      <c r="G225" s="13"/>
      <c r="I225" s="4"/>
      <c r="J225" s="3"/>
      <c r="K225" s="4"/>
      <c r="L225" s="3"/>
      <c r="M225" s="4"/>
      <c r="N225" s="3"/>
      <c r="O225" s="3"/>
      <c r="Q225" s="3"/>
    </row>
    <row r="226" spans="3:17" ht="12.75">
      <c r="C226" s="85"/>
      <c r="G226" s="13"/>
      <c r="I226" s="4"/>
      <c r="J226" s="3"/>
      <c r="K226" s="4"/>
      <c r="L226" s="3"/>
      <c r="M226" s="4"/>
      <c r="N226" s="3"/>
      <c r="O226" s="3"/>
      <c r="Q226" s="3"/>
    </row>
    <row r="227" spans="3:17" ht="12.75">
      <c r="C227" s="85"/>
      <c r="G227" s="13"/>
      <c r="I227" s="4"/>
      <c r="J227" s="3"/>
      <c r="K227" s="4"/>
      <c r="L227" s="3"/>
      <c r="M227" s="4"/>
      <c r="N227" s="3"/>
      <c r="O227" s="3"/>
      <c r="Q227" s="3"/>
    </row>
    <row r="228" spans="3:17" ht="12.75">
      <c r="C228" s="85"/>
      <c r="G228" s="13"/>
      <c r="I228" s="4"/>
      <c r="J228" s="3"/>
      <c r="K228" s="4"/>
      <c r="L228" s="3"/>
      <c r="M228" s="4"/>
      <c r="N228" s="3"/>
      <c r="O228" s="3"/>
      <c r="Q228" s="3"/>
    </row>
    <row r="229" spans="3:17" ht="12.75">
      <c r="C229" s="85"/>
      <c r="G229" s="13"/>
      <c r="I229" s="4"/>
      <c r="J229" s="3"/>
      <c r="K229" s="4"/>
      <c r="L229" s="3"/>
      <c r="M229" s="4"/>
      <c r="N229" s="3"/>
      <c r="O229" s="3"/>
      <c r="Q229" s="3"/>
    </row>
    <row r="230" spans="3:17" ht="12.75">
      <c r="C230" s="85"/>
      <c r="G230" s="13"/>
      <c r="I230" s="4"/>
      <c r="J230" s="3"/>
      <c r="K230" s="4"/>
      <c r="L230" s="3"/>
      <c r="M230" s="4"/>
      <c r="N230" s="3"/>
      <c r="O230" s="3"/>
      <c r="Q230" s="3"/>
    </row>
    <row r="231" spans="3:17" ht="12.75">
      <c r="C231" s="85"/>
      <c r="G231" s="13"/>
      <c r="I231" s="4"/>
      <c r="J231" s="3"/>
      <c r="K231" s="4"/>
      <c r="L231" s="3"/>
      <c r="M231" s="4"/>
      <c r="N231" s="3"/>
      <c r="O231" s="3"/>
      <c r="Q231" s="3"/>
    </row>
    <row r="232" spans="3:17" ht="12.75">
      <c r="C232" s="85"/>
      <c r="G232" s="13"/>
      <c r="I232" s="4"/>
      <c r="J232" s="3"/>
      <c r="K232" s="4"/>
      <c r="L232" s="3"/>
      <c r="M232" s="4"/>
      <c r="N232" s="3"/>
      <c r="O232" s="3"/>
      <c r="Q232" s="3"/>
    </row>
    <row r="233" spans="3:17" ht="12.75">
      <c r="C233" s="85"/>
      <c r="G233" s="13"/>
      <c r="I233" s="4"/>
      <c r="J233" s="3"/>
      <c r="K233" s="4"/>
      <c r="L233" s="3"/>
      <c r="M233" s="4"/>
      <c r="N233" s="3"/>
      <c r="O233" s="3"/>
      <c r="Q233" s="3"/>
    </row>
    <row r="234" spans="3:17" ht="12.75">
      <c r="C234" s="85"/>
      <c r="G234" s="13"/>
      <c r="I234" s="4"/>
      <c r="J234" s="3"/>
      <c r="K234" s="4"/>
      <c r="L234" s="3"/>
      <c r="M234" s="4"/>
      <c r="N234" s="3"/>
      <c r="O234" s="3"/>
      <c r="Q234" s="3"/>
    </row>
    <row r="235" spans="3:17" ht="12.75">
      <c r="C235" s="85"/>
      <c r="G235" s="13"/>
      <c r="I235" s="4"/>
      <c r="J235" s="3"/>
      <c r="K235" s="4"/>
      <c r="L235" s="3"/>
      <c r="M235" s="4"/>
      <c r="N235" s="3"/>
      <c r="O235" s="3"/>
      <c r="Q235" s="3"/>
    </row>
    <row r="236" spans="3:17" ht="12.75">
      <c r="C236" s="85"/>
      <c r="G236" s="13"/>
      <c r="I236" s="4"/>
      <c r="J236" s="3"/>
      <c r="K236" s="4"/>
      <c r="L236" s="3"/>
      <c r="M236" s="4"/>
      <c r="N236" s="3"/>
      <c r="O236" s="3"/>
      <c r="Q236" s="3"/>
    </row>
    <row r="237" spans="3:17" ht="12.75">
      <c r="C237" s="85"/>
      <c r="G237" s="13"/>
      <c r="I237" s="4"/>
      <c r="J237" s="3"/>
      <c r="K237" s="4"/>
      <c r="L237" s="3"/>
      <c r="M237" s="4"/>
      <c r="N237" s="3"/>
      <c r="O237" s="3"/>
      <c r="Q237" s="3"/>
    </row>
    <row r="238" spans="3:17" ht="12.75">
      <c r="C238" s="85"/>
      <c r="G238" s="13"/>
      <c r="I238" s="4"/>
      <c r="J238" s="3"/>
      <c r="K238" s="4"/>
      <c r="L238" s="3"/>
      <c r="M238" s="4"/>
      <c r="N238" s="3"/>
      <c r="O238" s="3"/>
      <c r="Q238" s="3"/>
    </row>
    <row r="239" spans="3:17" ht="12.75">
      <c r="C239" s="85"/>
      <c r="G239" s="13"/>
      <c r="I239" s="4"/>
      <c r="J239" s="3"/>
      <c r="K239" s="4"/>
      <c r="L239" s="3"/>
      <c r="M239" s="4"/>
      <c r="N239" s="3"/>
      <c r="O239" s="3"/>
      <c r="Q239" s="3"/>
    </row>
    <row r="240" spans="3:17" ht="12.75">
      <c r="C240" s="85"/>
      <c r="G240" s="13"/>
      <c r="I240" s="4"/>
      <c r="J240" s="3"/>
      <c r="K240" s="4"/>
      <c r="L240" s="3"/>
      <c r="M240" s="4"/>
      <c r="N240" s="3"/>
      <c r="O240" s="3"/>
      <c r="Q240" s="3"/>
    </row>
    <row r="241" spans="3:17" ht="12.75">
      <c r="C241" s="85"/>
      <c r="G241" s="13"/>
      <c r="I241" s="4"/>
      <c r="J241" s="3"/>
      <c r="K241" s="4"/>
      <c r="L241" s="3"/>
      <c r="M241" s="4"/>
      <c r="N241" s="3"/>
      <c r="O241" s="3"/>
      <c r="Q241" s="3"/>
    </row>
    <row r="242" spans="3:17" ht="12.75">
      <c r="C242" s="85"/>
      <c r="G242" s="13"/>
      <c r="I242" s="4"/>
      <c r="J242" s="3"/>
      <c r="K242" s="4"/>
      <c r="L242" s="3"/>
      <c r="M242" s="4"/>
      <c r="N242" s="3"/>
      <c r="O242" s="3"/>
      <c r="Q242" s="3"/>
    </row>
    <row r="243" spans="3:17" ht="12.75">
      <c r="C243" s="85"/>
      <c r="G243" s="13"/>
      <c r="I243" s="4"/>
      <c r="J243" s="3"/>
      <c r="K243" s="4"/>
      <c r="L243" s="3"/>
      <c r="M243" s="4"/>
      <c r="N243" s="3"/>
      <c r="O243" s="3"/>
      <c r="Q243" s="3"/>
    </row>
    <row r="244" spans="3:17" ht="12.75">
      <c r="C244" s="85"/>
      <c r="G244" s="13"/>
      <c r="I244" s="4"/>
      <c r="J244" s="3"/>
      <c r="K244" s="4"/>
      <c r="L244" s="3"/>
      <c r="M244" s="4"/>
      <c r="N244" s="3"/>
      <c r="O244" s="3"/>
      <c r="Q244" s="3"/>
    </row>
    <row r="245" spans="3:17" ht="12.75">
      <c r="C245" s="85"/>
      <c r="G245" s="13"/>
      <c r="I245" s="4"/>
      <c r="J245" s="3"/>
      <c r="K245" s="4"/>
      <c r="L245" s="3"/>
      <c r="M245" s="4"/>
      <c r="N245" s="3"/>
      <c r="O245" s="3"/>
      <c r="Q245" s="3"/>
    </row>
  </sheetData>
  <mergeCells count="6">
    <mergeCell ref="B1:H1"/>
    <mergeCell ref="B2:H2"/>
    <mergeCell ref="G20:H20"/>
    <mergeCell ref="C107:D107"/>
    <mergeCell ref="D202:J202"/>
    <mergeCell ref="G9:H9"/>
  </mergeCells>
  <printOptions/>
  <pageMargins left="0.4330708661417323" right="0.2362204724409449" top="0.5118110236220472" bottom="0.5118110236220472" header="0.31496062992125984" footer="0.31496062992125984"/>
  <pageSetup horizontalDpi="600" verticalDpi="600" orientation="portrait" paperSize="9" scale="9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User</cp:lastModifiedBy>
  <cp:lastPrinted>2017-07-04T07:55:25Z</cp:lastPrinted>
  <dcterms:created xsi:type="dcterms:W3CDTF">2015-12-13T23:58:35Z</dcterms:created>
  <dcterms:modified xsi:type="dcterms:W3CDTF">2017-07-24T13:05:07Z</dcterms:modified>
  <cp:category/>
  <cp:version/>
  <cp:contentType/>
  <cp:contentStatus/>
</cp:coreProperties>
</file>