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<sst xmlns="http://schemas.openxmlformats.org/spreadsheetml/2006/main" count="698" uniqueCount="278">
  <si>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</si>
  <si>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</si>
  <si>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</si>
  <si>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</si>
  <si>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</si>
  <si>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</si>
  <si>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</si>
  <si>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</si>
  <si>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</si>
  <si>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</si>
  <si>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</si>
  <si>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</si>
  <si>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</si>
  <si>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</si>
  <si>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</si>
  <si>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</si>
  <si>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</si>
  <si>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</si>
  <si>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</si>
  <si>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</si>
  <si>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</si>
  <si>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</si>
  <si>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</si>
  <si>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</si>
  <si>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</si>
  <si>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</si>
  <si>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</si>
  <si>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</si>
  <si>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</si>
  <si>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</si>
  <si>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</si>
  <si>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</si>
  <si>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</si>
  <si>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</si>
  <si>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</si>
  <si>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</si>
  <si>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</si>
  <si>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</si>
  <si>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</si>
  <si>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</si>
  <si>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</si>
  <si>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</si>
  <si>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</si>
  <si>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</si>
  <si>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</si>
  <si>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</si>
  <si>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</si>
  <si>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</si>
  <si>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</si>
  <si>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</si>
  <si>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</si>
  <si>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</si>
  <si>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</si>
  <si>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</si>
  <si>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</si>
  <si>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</si>
  <si>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Objekt</t>
  </si>
  <si>
    <t>01</t>
  </si>
  <si>
    <t>02</t>
  </si>
  <si>
    <t>03</t>
  </si>
  <si>
    <t>04</t>
  </si>
  <si>
    <t>Kód</t>
  </si>
  <si>
    <t>722</t>
  </si>
  <si>
    <t>722181214RU2</t>
  </si>
  <si>
    <t>722181214RW4</t>
  </si>
  <si>
    <t>722181214RY1</t>
  </si>
  <si>
    <t>732</t>
  </si>
  <si>
    <t>732420812R00</t>
  </si>
  <si>
    <t>732429111R00</t>
  </si>
  <si>
    <t>732429112R00</t>
  </si>
  <si>
    <t>733</t>
  </si>
  <si>
    <t>733111315R00</t>
  </si>
  <si>
    <t>733111317R00</t>
  </si>
  <si>
    <t>733111318R00</t>
  </si>
  <si>
    <t>734</t>
  </si>
  <si>
    <t>734200823R00</t>
  </si>
  <si>
    <t>734200833R00</t>
  </si>
  <si>
    <t>734209122R00</t>
  </si>
  <si>
    <t>734209125R00</t>
  </si>
  <si>
    <t>734209126R00</t>
  </si>
  <si>
    <t>734235125R00</t>
  </si>
  <si>
    <t>734245425R00</t>
  </si>
  <si>
    <t>734295215R00</t>
  </si>
  <si>
    <t>734295321R00</t>
  </si>
  <si>
    <t>734410811R00</t>
  </si>
  <si>
    <t>734413144R00</t>
  </si>
  <si>
    <t>90</t>
  </si>
  <si>
    <t>900      R03</t>
  </si>
  <si>
    <t>H734</t>
  </si>
  <si>
    <t>998734201R00</t>
  </si>
  <si>
    <t>732101VD</t>
  </si>
  <si>
    <t>734011VD</t>
  </si>
  <si>
    <t>734012VD</t>
  </si>
  <si>
    <t>734100VD</t>
  </si>
  <si>
    <t>734200821R00</t>
  </si>
  <si>
    <t>734200822R00</t>
  </si>
  <si>
    <t>734209105R00</t>
  </si>
  <si>
    <t>734221672RT3</t>
  </si>
  <si>
    <t>734226212RT1</t>
  </si>
  <si>
    <t>734226213RT1</t>
  </si>
  <si>
    <t>734494214R00</t>
  </si>
  <si>
    <t>735</t>
  </si>
  <si>
    <t>735000912R00</t>
  </si>
  <si>
    <t>H735</t>
  </si>
  <si>
    <t>998735201R00</t>
  </si>
  <si>
    <t>55137295</t>
  </si>
  <si>
    <t>911</t>
  </si>
  <si>
    <t>911600VD</t>
  </si>
  <si>
    <t>911602VD</t>
  </si>
  <si>
    <t>911603VD</t>
  </si>
  <si>
    <t>Instalace termostatických ventilů a zaregulování otopné soustavy v objektu MŠ Konská</t>
  </si>
  <si>
    <t>Konská č.p. 419</t>
  </si>
  <si>
    <t>Zkrácený popis</t>
  </si>
  <si>
    <t>Rozměry</t>
  </si>
  <si>
    <t>Technologie zdroje tepla</t>
  </si>
  <si>
    <t>Vnitřní vodovod</t>
  </si>
  <si>
    <t>Tepelná izolace návleková s pěnového poletylénu tl. stěny 20 mm, vnitřní průměr 35</t>
  </si>
  <si>
    <t>Tepelná izolace návleková s pěnového poletylénu tl. stěny 20 mm, vnitřní průměr 48</t>
  </si>
  <si>
    <t>Tepelná izolace návleková s pěnového poletylénu tl. stěny 20 mm, vnitřní průměr 60</t>
  </si>
  <si>
    <t>Strojovny</t>
  </si>
  <si>
    <t>Demontáž čerpadel oběhových spirálních DN 40</t>
  </si>
  <si>
    <t>Montáž čerpadel oběhových spirálních, DN 25</t>
  </si>
  <si>
    <t>Montáž čerpadel oběhových spirálních, DN 40</t>
  </si>
  <si>
    <t>Rozvod potrubí</t>
  </si>
  <si>
    <t>Potrubí závit. běžné svařované v kotelnách DN 25</t>
  </si>
  <si>
    <t>Potrubí závit. běžné svařované v kotelnách DN 40</t>
  </si>
  <si>
    <t>Potrubí závit. běžné svařované v kotelnách DN 50</t>
  </si>
  <si>
    <t>Armatury</t>
  </si>
  <si>
    <t>Demontáž armatur se 2závity do G 6/4</t>
  </si>
  <si>
    <t>Demontáž armatur se 3závity do G 6/4</t>
  </si>
  <si>
    <t>Montáž servopohonů</t>
  </si>
  <si>
    <t>Montáž armatur závitových,se 3závity, G 1 - směšovací ventil</t>
  </si>
  <si>
    <t>Montáž armatur závitových,se 3závity, G 5/4 - směšovací ventil</t>
  </si>
  <si>
    <t>Kohout kulový,2xvnitřní záv. DN 40</t>
  </si>
  <si>
    <t>Klapka zpětná,2xvnitřní závit DN 40</t>
  </si>
  <si>
    <t>Filtr, vnitřní-vnitřní z. DN 40</t>
  </si>
  <si>
    <t>Kohout kul.vypouštěcí,komplet N 15</t>
  </si>
  <si>
    <t>Demontáž teploměrů přímých a rohových</t>
  </si>
  <si>
    <t>Teploměr stonkový včetně jímky 120°C, D 100  - dle specifikace</t>
  </si>
  <si>
    <t>Hodinové zúčtovací sazby (HZS)</t>
  </si>
  <si>
    <t>HZS-uchycení potrubí,pomocné práce</t>
  </si>
  <si>
    <t>HZS-odpojení a zpětné napojení kabelů elektromotorů servopohonů a čerpadel</t>
  </si>
  <si>
    <t>HZS-zkoušty těsnosti, nastavení  a uvedení do provozu směšovacích ventilů a oběhových čerpadel</t>
  </si>
  <si>
    <t>Přesun hmot pro armatury, výšky do 6 m</t>
  </si>
  <si>
    <t>Ostatní materiál</t>
  </si>
  <si>
    <t>Oběhové čerpadlo č. 1 - ÚT ZŠ, MŠ - dle specifikace</t>
  </si>
  <si>
    <t>Oběhové čerpadlo č. 2 - ÚT tělocvična - dle specifikace</t>
  </si>
  <si>
    <t>Trojcestný směšovací ventil DN 25, kvs 10, včetně servopohonu - dle specifikace</t>
  </si>
  <si>
    <t>Trojcestný směšovací ventil DN 32, kvs 16, včetně servopohonu - dle specifikace</t>
  </si>
  <si>
    <t>Ostatní nespecifikovaný materiál pro instalaci čerpadel a armatur</t>
  </si>
  <si>
    <t>Instalace termostatických ventilů</t>
  </si>
  <si>
    <t>Demontáž armatur se 2závity do G 1/2 - radiátorový kohout</t>
  </si>
  <si>
    <t>Demontáž armatur se 2závity do G 1 - radiátorový kohout</t>
  </si>
  <si>
    <t>Montáž armatur závitových,s 1závitem - termostatická hlavice s odděleným čidlem</t>
  </si>
  <si>
    <t>Termostat.hlavice ventilu s vest.čidlem,vč.ochrany proti odcizení</t>
  </si>
  <si>
    <t>Ventil term.přímý,vnitř.z. DN 15 - zkracené provedení</t>
  </si>
  <si>
    <t>Ventil term.přímý,vnitř.z. DN 20 - zkracené provedení</t>
  </si>
  <si>
    <t>Návarky s trubkovým závitem G 3/4</t>
  </si>
  <si>
    <t>Otopná tělesa</t>
  </si>
  <si>
    <t>Oprava-vyregulování ventilů s termost.ovládáním</t>
  </si>
  <si>
    <t>HZS-vypouštění , napouštění a odvzdušnění otopné soustavy, zkoušky těsnosti</t>
  </si>
  <si>
    <t>HZS-úpr\ava potrubí pro napojení TRV, pomocné práce</t>
  </si>
  <si>
    <t>Přesun hmot pro otopná tělesa, výšky do 6 m</t>
  </si>
  <si>
    <t>Hlavice termostatická s odděleným čidlem včetně ochranného krytu proti odcizení - dle specifikace</t>
  </si>
  <si>
    <t>Ostatní nespecifikovaný montážní a těsnicí materiál pro instalaci radiátorových ventilů</t>
  </si>
  <si>
    <t>Ostatní nespecifikovaný materiál pro ochranu kapiláry odděleného čídla termost. hlavice - plastové lišty D+M</t>
  </si>
  <si>
    <t>Drobné stavební úpravy, úprava zakrytování těles</t>
  </si>
  <si>
    <t>HZS-demontáž a zpětná montáž krytu otopnách těles, úprava krytů pro osazení rad. ventilů s odděl. čidlem</t>
  </si>
  <si>
    <t>HZS-drobné stavební  vypomoci při instalaci red. ventilů</t>
  </si>
  <si>
    <t>Ostatní související práce a činnosti</t>
  </si>
  <si>
    <t>Ostatní</t>
  </si>
  <si>
    <t>Zkoušky, seřízení, uvedení do provozu</t>
  </si>
  <si>
    <t>PD skutečného provedení stavby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</si>
  <si>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</si>
  <si>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</si>
  <si>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</si>
  <si>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</si>
  <si>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</si>
  <si>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</si>
  <si>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</si>
  <si>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soubor</t>
  </si>
  <si>
    <t>h</t>
  </si>
  <si>
    <t>%</t>
  </si>
  <si>
    <t>ks</t>
  </si>
  <si>
    <t>kpl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</si>
  <si>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</si>
  <si>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</si>
  <si>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</si>
  <si>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</si>
  <si>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</si>
  <si>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</si>
  <si>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</si>
  <si>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</si>
  <si>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</si>
  <si>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</si>
  <si>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</si>
  <si>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</si>
  <si>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</si>
  <si>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</si>
  <si>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</si>
  <si>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</si>
  <si>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</si>
  <si>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</si>
  <si>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</si>
  <si>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</si>
  <si>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</si>
  <si>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</si>
  <si>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</si>
  <si>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</si>
  <si>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</si>
  <si>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</si>
  <si>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</si>
  <si>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722_</t>
  </si>
  <si>
    <t>732_</t>
  </si>
  <si>
    <t>733_</t>
  </si>
  <si>
    <t>734_</t>
  </si>
  <si>
    <t>90_</t>
  </si>
  <si>
    <t>H734_</t>
  </si>
  <si>
    <t>Z99999_</t>
  </si>
  <si>
    <t>735_</t>
  </si>
  <si>
    <t>H735_</t>
  </si>
  <si>
    <t>911_</t>
  </si>
  <si>
    <t>01_72_</t>
  </si>
  <si>
    <t>01_73_</t>
  </si>
  <si>
    <t>01_9_</t>
  </si>
  <si>
    <t>01_Z_</t>
  </si>
  <si>
    <t>02_73_</t>
  </si>
  <si>
    <t>02_9_</t>
  </si>
  <si>
    <t>02_Z_</t>
  </si>
  <si>
    <t>03_9_</t>
  </si>
  <si>
    <t>04_9_</t>
  </si>
  <si>
    <t>01_</t>
  </si>
  <si>
    <t>02_</t>
  </si>
  <si>
    <t>03_</t>
  </si>
  <si>
    <t>04_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</si>
  <si>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</si>
  <si>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</si>
  <si>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</si>
  <si>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</si>
  <si>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</si>
  <si>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</si>
  <si>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</si>
  <si>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</si>
  <si>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</si>
  <si>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</si>
  <si>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</si>
  <si>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</si>
  <si>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</si>
  <si>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</si>
  <si>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</si>
  <si>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</si>
  <si>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</si>
  <si>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</si>
  <si>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</si>
  <si>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</si>
  <si>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</si>
  <si>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</si>
  <si>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</si>
  <si>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</si>
  <si>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</si>
  <si>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</si>
  <si>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</si>
  <si>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</si>
  <si>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</si>
  <si>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</si>
  <si>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</si>
  <si>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</si>
  <si>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</si>
  <si>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</si>
  <si>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</si>
  <si>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</si>
  <si>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</si>
  <si>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</si>
  <si>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</si>
  <si>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</si>
  <si>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</si>
  <si>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</si>
  <si>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Ostatní související náklady realizace - rezerva 4 % z rozpočtových nákladů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</si>
</sst>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3" fillId="35" borderId="45" xfId="0" applyNumberFormat="1" applyFont="1" applyFill="1" applyBorder="1" applyAlignment="1" applyProtection="1">
      <alignment horizontal="left" vertical="center"/>
      <protection/>
    </xf>
    <xf numFmtId="0" fontId="13" fillId="35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0"/>
  <sheetViews>
    <sheetView zoomScalePageLayoutView="0" workbookViewId="0" topLeftCell="A56">
      <selection activeCell="A1" sqref="A1:M7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8.281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12.75">
      <c r="A2" s="84" t="s">
        <v>1</v>
      </c>
      <c r="B2" s="85"/>
      <c r="C2" s="85"/>
      <c r="D2" s="86" t="s">
        <v>110</v>
      </c>
      <c r="E2" s="88" t="s">
        <v>173</v>
      </c>
      <c r="F2" s="85"/>
      <c r="G2" s="88"/>
      <c r="H2" s="85"/>
      <c r="I2" s="89" t="s">
        <v>191</v>
      </c>
      <c r="J2" s="89"/>
      <c r="K2" s="85"/>
      <c r="L2" s="85"/>
      <c r="M2" s="90"/>
      <c r="N2" s="34"/>
    </row>
    <row r="3" spans="1:14" ht="12.75">
      <c r="A3" s="81"/>
      <c r="B3" s="68"/>
      <c r="C3" s="68"/>
      <c r="D3" s="87"/>
      <c r="E3" s="68"/>
      <c r="F3" s="68"/>
      <c r="G3" s="68"/>
      <c r="H3" s="68"/>
      <c r="I3" s="68"/>
      <c r="J3" s="68"/>
      <c r="K3" s="68"/>
      <c r="L3" s="68"/>
      <c r="M3" s="79"/>
      <c r="N3" s="34"/>
    </row>
    <row r="4" spans="1:14" ht="12.75">
      <c r="A4" s="74" t="s">
        <v>2</v>
      </c>
      <c r="B4" s="68"/>
      <c r="C4" s="68"/>
      <c r="D4" s="67"/>
      <c r="E4" s="77" t="s">
        <v>174</v>
      </c>
      <c r="F4" s="68"/>
      <c r="G4" s="77" t="s">
        <v>6</v>
      </c>
      <c r="H4" s="68"/>
      <c r="I4" s="67" t="s">
        <v>192</v>
      </c>
      <c r="J4" s="67"/>
      <c r="K4" s="68"/>
      <c r="L4" s="68"/>
      <c r="M4" s="79"/>
      <c r="N4" s="34"/>
    </row>
    <row r="5" spans="1:14" ht="12.75">
      <c r="A5" s="8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9"/>
      <c r="N5" s="34"/>
    </row>
    <row r="6" spans="1:14" ht="12.75">
      <c r="A6" s="74" t="s">
        <v>3</v>
      </c>
      <c r="B6" s="68"/>
      <c r="C6" s="68"/>
      <c r="D6" s="67" t="s">
        <v>111</v>
      </c>
      <c r="E6" s="77" t="s">
        <v>175</v>
      </c>
      <c r="F6" s="68"/>
      <c r="G6" s="68"/>
      <c r="H6" s="68"/>
      <c r="I6" s="67" t="s">
        <v>193</v>
      </c>
      <c r="J6" s="67"/>
      <c r="K6" s="68"/>
      <c r="L6" s="68"/>
      <c r="M6" s="79"/>
      <c r="N6" s="34"/>
    </row>
    <row r="7" spans="1:14" ht="12.75">
      <c r="A7" s="81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9"/>
      <c r="N7" s="34"/>
    </row>
    <row r="8" spans="1:14" ht="12.75">
      <c r="A8" s="74" t="s">
        <v>4</v>
      </c>
      <c r="B8" s="68"/>
      <c r="C8" s="68"/>
      <c r="D8" s="67"/>
      <c r="E8" s="77" t="s">
        <v>176</v>
      </c>
      <c r="F8" s="68"/>
      <c r="G8" s="78">
        <v>42852</v>
      </c>
      <c r="H8" s="68"/>
      <c r="I8" s="67" t="s">
        <v>194</v>
      </c>
      <c r="J8" s="67"/>
      <c r="K8" s="68"/>
      <c r="L8" s="68"/>
      <c r="M8" s="79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0"/>
      <c r="N9" s="34"/>
    </row>
    <row r="10" spans="1:14" ht="12.75">
      <c r="A10" s="1" t="s">
        <v>5</v>
      </c>
      <c r="B10" s="11" t="s">
        <v>56</v>
      </c>
      <c r="C10" s="11" t="s">
        <v>61</v>
      </c>
      <c r="D10" s="11" t="s">
        <v>112</v>
      </c>
      <c r="E10" s="11" t="s">
        <v>177</v>
      </c>
      <c r="F10" s="17" t="s">
        <v>185</v>
      </c>
      <c r="G10" s="21" t="s">
        <v>186</v>
      </c>
      <c r="H10" s="69" t="s">
        <v>188</v>
      </c>
      <c r="I10" s="70"/>
      <c r="J10" s="71"/>
      <c r="K10" s="69" t="s">
        <v>197</v>
      </c>
      <c r="L10" s="71"/>
      <c r="M10" s="29" t="s">
        <v>198</v>
      </c>
      <c r="N10" s="35"/>
    </row>
    <row r="11" spans="1:24" ht="12.75">
      <c r="A11" s="2" t="s">
        <v>6</v>
      </c>
      <c r="B11" s="12" t="s">
        <v>6</v>
      </c>
      <c r="C11" s="12" t="s">
        <v>6</v>
      </c>
      <c r="D11" s="16" t="s">
        <v>113</v>
      </c>
      <c r="E11" s="12" t="s">
        <v>6</v>
      </c>
      <c r="F11" s="12" t="s">
        <v>6</v>
      </c>
      <c r="G11" s="22" t="s">
        <v>187</v>
      </c>
      <c r="H11" s="23" t="s">
        <v>189</v>
      </c>
      <c r="I11" s="24" t="s">
        <v>195</v>
      </c>
      <c r="J11" s="25" t="s">
        <v>196</v>
      </c>
      <c r="K11" s="23" t="s">
        <v>186</v>
      </c>
      <c r="L11" s="25" t="s">
        <v>196</v>
      </c>
      <c r="M11" s="30" t="s">
        <v>199</v>
      </c>
      <c r="N11" s="35"/>
      <c r="P11" s="27" t="s">
        <v>202</v>
      </c>
      <c r="Q11" s="27" t="s">
        <v>203</v>
      </c>
      <c r="R11" s="27" t="s">
        <v>204</v>
      </c>
      <c r="S11" s="27" t="s">
        <v>205</v>
      </c>
      <c r="T11" s="27" t="s">
        <v>206</v>
      </c>
      <c r="U11" s="27" t="s">
        <v>207</v>
      </c>
      <c r="V11" s="27" t="s">
        <v>208</v>
      </c>
      <c r="W11" s="27" t="s">
        <v>209</v>
      </c>
      <c r="X11" s="27" t="s">
        <v>210</v>
      </c>
    </row>
    <row r="12" spans="1:13" ht="12.75">
      <c r="A12" s="3"/>
      <c r="B12" s="13" t="s">
        <v>57</v>
      </c>
      <c r="C12" s="13"/>
      <c r="D12" s="72" t="s">
        <v>114</v>
      </c>
      <c r="E12" s="73"/>
      <c r="F12" s="73"/>
      <c r="G12" s="73"/>
      <c r="H12" s="38">
        <f>H13+H17+H21+H25+H37+H41+H43</f>
        <v>0</v>
      </c>
      <c r="I12" s="38">
        <f>I13+I17+I21+I25+I37+I41+I43</f>
        <v>0</v>
      </c>
      <c r="J12" s="38">
        <f>H12+I12</f>
        <v>0</v>
      </c>
      <c r="K12" s="26"/>
      <c r="L12" s="38">
        <f>L13+L17+L21+L25+L37+L41+L43</f>
        <v>0.23244</v>
      </c>
      <c r="M12" s="26"/>
    </row>
    <row r="13" spans="1:37" ht="12.75">
      <c r="A13" s="4"/>
      <c r="B13" s="14" t="s">
        <v>57</v>
      </c>
      <c r="C13" s="14" t="s">
        <v>62</v>
      </c>
      <c r="D13" s="63" t="s">
        <v>115</v>
      </c>
      <c r="E13" s="64"/>
      <c r="F13" s="64"/>
      <c r="G13" s="64"/>
      <c r="H13" s="39">
        <f>SUM(H14:H16)</f>
        <v>0</v>
      </c>
      <c r="I13" s="39">
        <f>SUM(I14:I16)</f>
        <v>0</v>
      </c>
      <c r="J13" s="39">
        <f>H13+I13</f>
        <v>0</v>
      </c>
      <c r="K13" s="27"/>
      <c r="L13" s="39">
        <f>SUM(L14:L16)</f>
        <v>0.0019100000000000002</v>
      </c>
      <c r="M13" s="27"/>
      <c r="Y13" s="27" t="s">
        <v>57</v>
      </c>
      <c r="AI13" s="39">
        <f>SUM(Z14:Z16)</f>
        <v>0</v>
      </c>
      <c r="AJ13" s="39">
        <f>SUM(AA14:AA16)</f>
        <v>0</v>
      </c>
      <c r="AK13" s="39">
        <f>SUM(AB14:AB16)</f>
        <v>0</v>
      </c>
    </row>
    <row r="14" spans="1:48" ht="12.75">
      <c r="A14" s="5" t="s">
        <v>7</v>
      </c>
      <c r="B14" s="5" t="s">
        <v>57</v>
      </c>
      <c r="C14" s="5" t="s">
        <v>63</v>
      </c>
      <c r="D14" s="5" t="s">
        <v>116</v>
      </c>
      <c r="E14" s="5" t="s">
        <v>178</v>
      </c>
      <c r="F14" s="18">
        <v>3</v>
      </c>
      <c r="G14" s="18">
        <v>0</v>
      </c>
      <c r="H14" s="18">
        <f>F14*AE14</f>
        <v>0</v>
      </c>
      <c r="I14" s="18">
        <f>J14-H14</f>
        <v>0</v>
      </c>
      <c r="J14" s="18">
        <f>F14*G14</f>
        <v>0</v>
      </c>
      <c r="K14" s="18">
        <v>7E-05</v>
      </c>
      <c r="L14" s="18">
        <f>F14*K14</f>
        <v>0.00020999999999999998</v>
      </c>
      <c r="M14" s="31" t="s">
        <v>200</v>
      </c>
      <c r="P14" s="36">
        <f>IF(AG14="5",J14,0)</f>
        <v>0</v>
      </c>
      <c r="R14" s="36">
        <f>IF(AG14="1",H14,0)</f>
        <v>0</v>
      </c>
      <c r="S14" s="36">
        <f>IF(AG14="1",I14,0)</f>
        <v>0</v>
      </c>
      <c r="T14" s="36">
        <f>IF(AG14="7",H14,0)</f>
        <v>0</v>
      </c>
      <c r="U14" s="36">
        <f>IF(AG14="7",I14,0)</f>
        <v>0</v>
      </c>
      <c r="V14" s="36">
        <f>IF(AG14="2",H14,0)</f>
        <v>0</v>
      </c>
      <c r="W14" s="36">
        <f>IF(AG14="2",I14,0)</f>
        <v>0</v>
      </c>
      <c r="X14" s="36">
        <f>IF(AG14="0",J14,0)</f>
        <v>0</v>
      </c>
      <c r="Y14" s="27" t="s">
        <v>57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6">
        <v>21</v>
      </c>
      <c r="AE14" s="36">
        <f>G14*0.560135836241864</f>
        <v>0</v>
      </c>
      <c r="AF14" s="36">
        <f>G14*(1-0.560135836241864)</f>
        <v>0</v>
      </c>
      <c r="AG14" s="31" t="s">
        <v>13</v>
      </c>
      <c r="AM14" s="36">
        <f>F14*AE14</f>
        <v>0</v>
      </c>
      <c r="AN14" s="36">
        <f>F14*AF14</f>
        <v>0</v>
      </c>
      <c r="AO14" s="37" t="s">
        <v>212</v>
      </c>
      <c r="AP14" s="37" t="s">
        <v>222</v>
      </c>
      <c r="AQ14" s="27" t="s">
        <v>231</v>
      </c>
      <c r="AS14" s="36">
        <f>AM14+AN14</f>
        <v>0</v>
      </c>
      <c r="AT14" s="36">
        <f>G14/(100-AU14)*100</f>
        <v>0</v>
      </c>
      <c r="AU14" s="36">
        <v>0</v>
      </c>
      <c r="AV14" s="36">
        <f>L14</f>
        <v>0.00020999999999999998</v>
      </c>
    </row>
    <row r="15" spans="1:48" ht="12.75">
      <c r="A15" s="5" t="s">
        <v>8</v>
      </c>
      <c r="B15" s="5" t="s">
        <v>57</v>
      </c>
      <c r="C15" s="5" t="s">
        <v>64</v>
      </c>
      <c r="D15" s="5" t="s">
        <v>117</v>
      </c>
      <c r="E15" s="5" t="s">
        <v>178</v>
      </c>
      <c r="F15" s="18">
        <v>5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0.00016</v>
      </c>
      <c r="L15" s="18">
        <f>F15*K15</f>
        <v>0.0008</v>
      </c>
      <c r="M15" s="31" t="s">
        <v>200</v>
      </c>
      <c r="P15" s="36">
        <f>IF(AG15="5",J15,0)</f>
        <v>0</v>
      </c>
      <c r="R15" s="36">
        <f>IF(AG15="1",H15,0)</f>
        <v>0</v>
      </c>
      <c r="S15" s="36">
        <f>IF(AG15="1",I15,0)</f>
        <v>0</v>
      </c>
      <c r="T15" s="36">
        <f>IF(AG15="7",H15,0)</f>
        <v>0</v>
      </c>
      <c r="U15" s="36">
        <f>IF(AG15="7",I15,0)</f>
        <v>0</v>
      </c>
      <c r="V15" s="36">
        <f>IF(AG15="2",H15,0)</f>
        <v>0</v>
      </c>
      <c r="W15" s="36">
        <f>IF(AG15="2",I15,0)</f>
        <v>0</v>
      </c>
      <c r="X15" s="36">
        <f>IF(AG15="0",J15,0)</f>
        <v>0</v>
      </c>
      <c r="Y15" s="27" t="s">
        <v>57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G15*0.556984126984127</f>
        <v>0</v>
      </c>
      <c r="AF15" s="36">
        <f>G15*(1-0.556984126984127)</f>
        <v>0</v>
      </c>
      <c r="AG15" s="31" t="s">
        <v>13</v>
      </c>
      <c r="AM15" s="36">
        <f>F15*AE15</f>
        <v>0</v>
      </c>
      <c r="AN15" s="36">
        <f>F15*AF15</f>
        <v>0</v>
      </c>
      <c r="AO15" s="37" t="s">
        <v>212</v>
      </c>
      <c r="AP15" s="37" t="s">
        <v>222</v>
      </c>
      <c r="AQ15" s="27" t="s">
        <v>231</v>
      </c>
      <c r="AS15" s="36">
        <f>AM15+AN15</f>
        <v>0</v>
      </c>
      <c r="AT15" s="36">
        <f>G15/(100-AU15)*100</f>
        <v>0</v>
      </c>
      <c r="AU15" s="36">
        <v>0</v>
      </c>
      <c r="AV15" s="36">
        <f>L15</f>
        <v>0.0008</v>
      </c>
    </row>
    <row r="16" spans="1:48" ht="12.75">
      <c r="A16" s="5" t="s">
        <v>9</v>
      </c>
      <c r="B16" s="5" t="s">
        <v>57</v>
      </c>
      <c r="C16" s="5" t="s">
        <v>65</v>
      </c>
      <c r="D16" s="5" t="s">
        <v>118</v>
      </c>
      <c r="E16" s="5" t="s">
        <v>178</v>
      </c>
      <c r="F16" s="18">
        <v>5</v>
      </c>
      <c r="G16" s="18">
        <v>0</v>
      </c>
      <c r="H16" s="18">
        <f>F16*AE16</f>
        <v>0</v>
      </c>
      <c r="I16" s="18">
        <f>J16-H16</f>
        <v>0</v>
      </c>
      <c r="J16" s="18">
        <f>F16*G16</f>
        <v>0</v>
      </c>
      <c r="K16" s="18">
        <v>0.00018</v>
      </c>
      <c r="L16" s="18">
        <f>F16*K16</f>
        <v>0.0009000000000000001</v>
      </c>
      <c r="M16" s="31" t="s">
        <v>200</v>
      </c>
      <c r="P16" s="36">
        <f>IF(AG16="5",J16,0)</f>
        <v>0</v>
      </c>
      <c r="R16" s="36">
        <f>IF(AG16="1",H16,0)</f>
        <v>0</v>
      </c>
      <c r="S16" s="36">
        <f>IF(AG16="1",I16,0)</f>
        <v>0</v>
      </c>
      <c r="T16" s="36">
        <f>IF(AG16="7",H16,0)</f>
        <v>0</v>
      </c>
      <c r="U16" s="36">
        <f>IF(AG16="7",I16,0)</f>
        <v>0</v>
      </c>
      <c r="V16" s="36">
        <f>IF(AG16="2",H16,0)</f>
        <v>0</v>
      </c>
      <c r="W16" s="36">
        <f>IF(AG16="2",I16,0)</f>
        <v>0</v>
      </c>
      <c r="X16" s="36">
        <f>IF(AG16="0",J16,0)</f>
        <v>0</v>
      </c>
      <c r="Y16" s="27" t="s">
        <v>57</v>
      </c>
      <c r="Z16" s="18">
        <f>IF(AD16=0,J16,0)</f>
        <v>0</v>
      </c>
      <c r="AA16" s="18">
        <f>IF(AD16=15,J16,0)</f>
        <v>0</v>
      </c>
      <c r="AB16" s="18">
        <f>IF(AD16=21,J16,0)</f>
        <v>0</v>
      </c>
      <c r="AD16" s="36">
        <v>21</v>
      </c>
      <c r="AE16" s="36">
        <f>G16*0.573894736842105</f>
        <v>0</v>
      </c>
      <c r="AF16" s="36">
        <f>G16*(1-0.573894736842105)</f>
        <v>0</v>
      </c>
      <c r="AG16" s="31" t="s">
        <v>13</v>
      </c>
      <c r="AM16" s="36">
        <f>F16*AE16</f>
        <v>0</v>
      </c>
      <c r="AN16" s="36">
        <f>F16*AF16</f>
        <v>0</v>
      </c>
      <c r="AO16" s="37" t="s">
        <v>212</v>
      </c>
      <c r="AP16" s="37" t="s">
        <v>222</v>
      </c>
      <c r="AQ16" s="27" t="s">
        <v>231</v>
      </c>
      <c r="AS16" s="36">
        <f>AM16+AN16</f>
        <v>0</v>
      </c>
      <c r="AT16" s="36">
        <f>G16/(100-AU16)*100</f>
        <v>0</v>
      </c>
      <c r="AU16" s="36">
        <v>0</v>
      </c>
      <c r="AV16" s="36">
        <f>L16</f>
        <v>0.0009000000000000001</v>
      </c>
    </row>
    <row r="17" spans="1:37" ht="12.75">
      <c r="A17" s="4"/>
      <c r="B17" s="14" t="s">
        <v>57</v>
      </c>
      <c r="C17" s="14" t="s">
        <v>66</v>
      </c>
      <c r="D17" s="63" t="s">
        <v>119</v>
      </c>
      <c r="E17" s="64"/>
      <c r="F17" s="64"/>
      <c r="G17" s="64"/>
      <c r="H17" s="39">
        <f>SUM(H18:H20)</f>
        <v>0</v>
      </c>
      <c r="I17" s="39">
        <f>SUM(I18:I20)</f>
        <v>0</v>
      </c>
      <c r="J17" s="39">
        <f>H17+I17</f>
        <v>0</v>
      </c>
      <c r="K17" s="27"/>
      <c r="L17" s="39">
        <f>SUM(L18:L20)</f>
        <v>0.06438999999999999</v>
      </c>
      <c r="M17" s="27"/>
      <c r="Y17" s="27" t="s">
        <v>57</v>
      </c>
      <c r="AI17" s="39">
        <f>SUM(Z18:Z20)</f>
        <v>0</v>
      </c>
      <c r="AJ17" s="39">
        <f>SUM(AA18:AA20)</f>
        <v>0</v>
      </c>
      <c r="AK17" s="39">
        <f>SUM(AB18:AB20)</f>
        <v>0</v>
      </c>
    </row>
    <row r="18" spans="1:48" ht="12.75">
      <c r="A18" s="5" t="s">
        <v>10</v>
      </c>
      <c r="B18" s="5" t="s">
        <v>57</v>
      </c>
      <c r="C18" s="5" t="s">
        <v>67</v>
      </c>
      <c r="D18" s="5" t="s">
        <v>120</v>
      </c>
      <c r="E18" s="5" t="s">
        <v>179</v>
      </c>
      <c r="F18" s="18">
        <v>3</v>
      </c>
      <c r="G18" s="18">
        <v>0</v>
      </c>
      <c r="H18" s="18">
        <f>F18*AE18</f>
        <v>0</v>
      </c>
      <c r="I18" s="18">
        <f>J18-H18</f>
        <v>0</v>
      </c>
      <c r="J18" s="18">
        <f>F18*G18</f>
        <v>0</v>
      </c>
      <c r="K18" s="18">
        <v>0.02107</v>
      </c>
      <c r="L18" s="18">
        <f>F18*K18</f>
        <v>0.06320999999999999</v>
      </c>
      <c r="M18" s="31" t="s">
        <v>200</v>
      </c>
      <c r="P18" s="36">
        <f>IF(AG18="5",J18,0)</f>
        <v>0</v>
      </c>
      <c r="R18" s="36">
        <f>IF(AG18="1",H18,0)</f>
        <v>0</v>
      </c>
      <c r="S18" s="36">
        <f>IF(AG18="1",I18,0)</f>
        <v>0</v>
      </c>
      <c r="T18" s="36">
        <f>IF(AG18="7",H18,0)</f>
        <v>0</v>
      </c>
      <c r="U18" s="36">
        <f>IF(AG18="7",I18,0)</f>
        <v>0</v>
      </c>
      <c r="V18" s="36">
        <f>IF(AG18="2",H18,0)</f>
        <v>0</v>
      </c>
      <c r="W18" s="36">
        <f>IF(AG18="2",I18,0)</f>
        <v>0</v>
      </c>
      <c r="X18" s="36">
        <f>IF(AG18="0",J18,0)</f>
        <v>0</v>
      </c>
      <c r="Y18" s="27" t="s">
        <v>57</v>
      </c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6">
        <v>21</v>
      </c>
      <c r="AE18" s="36">
        <f>G18*0.0501717287359418</f>
        <v>0</v>
      </c>
      <c r="AF18" s="36">
        <f>G18*(1-0.0501717287359418)</f>
        <v>0</v>
      </c>
      <c r="AG18" s="31" t="s">
        <v>13</v>
      </c>
      <c r="AM18" s="36">
        <f>F18*AE18</f>
        <v>0</v>
      </c>
      <c r="AN18" s="36">
        <f>F18*AF18</f>
        <v>0</v>
      </c>
      <c r="AO18" s="37" t="s">
        <v>213</v>
      </c>
      <c r="AP18" s="37" t="s">
        <v>223</v>
      </c>
      <c r="AQ18" s="27" t="s">
        <v>231</v>
      </c>
      <c r="AS18" s="36">
        <f>AM18+AN18</f>
        <v>0</v>
      </c>
      <c r="AT18" s="36">
        <f>G18/(100-AU18)*100</f>
        <v>0</v>
      </c>
      <c r="AU18" s="36">
        <v>0</v>
      </c>
      <c r="AV18" s="36">
        <f>L18</f>
        <v>0.06320999999999999</v>
      </c>
    </row>
    <row r="19" spans="1:48" ht="12.75">
      <c r="A19" s="5" t="s">
        <v>11</v>
      </c>
      <c r="B19" s="5" t="s">
        <v>57</v>
      </c>
      <c r="C19" s="5" t="s">
        <v>68</v>
      </c>
      <c r="D19" s="5" t="s">
        <v>121</v>
      </c>
      <c r="E19" s="5" t="s">
        <v>180</v>
      </c>
      <c r="F19" s="18">
        <v>1</v>
      </c>
      <c r="G19" s="18">
        <v>0</v>
      </c>
      <c r="H19" s="18">
        <f>F19*AE19</f>
        <v>0</v>
      </c>
      <c r="I19" s="18">
        <f>J19-H19</f>
        <v>0</v>
      </c>
      <c r="J19" s="18">
        <f>F19*G19</f>
        <v>0</v>
      </c>
      <c r="K19" s="18">
        <v>0</v>
      </c>
      <c r="L19" s="18">
        <f>F19*K19</f>
        <v>0</v>
      </c>
      <c r="M19" s="31" t="s">
        <v>200</v>
      </c>
      <c r="P19" s="36">
        <f>IF(AG19="5",J19,0)</f>
        <v>0</v>
      </c>
      <c r="R19" s="36">
        <f>IF(AG19="1",H19,0)</f>
        <v>0</v>
      </c>
      <c r="S19" s="36">
        <f>IF(AG19="1",I19,0)</f>
        <v>0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7" t="s">
        <v>57</v>
      </c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6">
        <v>21</v>
      </c>
      <c r="AE19" s="36">
        <f>G19*0.262605488972413</f>
        <v>0</v>
      </c>
      <c r="AF19" s="36">
        <f>G19*(1-0.262605488972413)</f>
        <v>0</v>
      </c>
      <c r="AG19" s="31" t="s">
        <v>13</v>
      </c>
      <c r="AM19" s="36">
        <f>F19*AE19</f>
        <v>0</v>
      </c>
      <c r="AN19" s="36">
        <f>F19*AF19</f>
        <v>0</v>
      </c>
      <c r="AO19" s="37" t="s">
        <v>213</v>
      </c>
      <c r="AP19" s="37" t="s">
        <v>223</v>
      </c>
      <c r="AQ19" s="27" t="s">
        <v>231</v>
      </c>
      <c r="AS19" s="36">
        <f>AM19+AN19</f>
        <v>0</v>
      </c>
      <c r="AT19" s="36">
        <f>G19/(100-AU19)*100</f>
        <v>0</v>
      </c>
      <c r="AU19" s="36">
        <v>0</v>
      </c>
      <c r="AV19" s="36">
        <f>L19</f>
        <v>0</v>
      </c>
    </row>
    <row r="20" spans="1:48" ht="12.75">
      <c r="A20" s="5" t="s">
        <v>12</v>
      </c>
      <c r="B20" s="5" t="s">
        <v>57</v>
      </c>
      <c r="C20" s="5" t="s">
        <v>69</v>
      </c>
      <c r="D20" s="5" t="s">
        <v>122</v>
      </c>
      <c r="E20" s="5" t="s">
        <v>180</v>
      </c>
      <c r="F20" s="18">
        <v>2</v>
      </c>
      <c r="G20" s="18">
        <v>0</v>
      </c>
      <c r="H20" s="18">
        <f>F20*AE20</f>
        <v>0</v>
      </c>
      <c r="I20" s="18">
        <f>J20-H20</f>
        <v>0</v>
      </c>
      <c r="J20" s="18">
        <f>F20*G20</f>
        <v>0</v>
      </c>
      <c r="K20" s="18">
        <v>0.00059</v>
      </c>
      <c r="L20" s="18">
        <f>F20*K20</f>
        <v>0.00118</v>
      </c>
      <c r="M20" s="31" t="s">
        <v>200</v>
      </c>
      <c r="P20" s="36">
        <f>IF(AG20="5",J20,0)</f>
        <v>0</v>
      </c>
      <c r="R20" s="36">
        <f>IF(AG20="1",H20,0)</f>
        <v>0</v>
      </c>
      <c r="S20" s="36">
        <f>IF(AG20="1",I20,0)</f>
        <v>0</v>
      </c>
      <c r="T20" s="36">
        <f>IF(AG20="7",H20,0)</f>
        <v>0</v>
      </c>
      <c r="U20" s="36">
        <f>IF(AG20="7",I20,0)</f>
        <v>0</v>
      </c>
      <c r="V20" s="36">
        <f>IF(AG20="2",H20,0)</f>
        <v>0</v>
      </c>
      <c r="W20" s="36">
        <f>IF(AG20="2",I20,0)</f>
        <v>0</v>
      </c>
      <c r="X20" s="36">
        <f>IF(AG20="0",J20,0)</f>
        <v>0</v>
      </c>
      <c r="Y20" s="27" t="s">
        <v>57</v>
      </c>
      <c r="Z20" s="18">
        <f>IF(AD20=0,J20,0)</f>
        <v>0</v>
      </c>
      <c r="AA20" s="18">
        <f>IF(AD20=15,J20,0)</f>
        <v>0</v>
      </c>
      <c r="AB20" s="18">
        <f>IF(AD20=21,J20,0)</f>
        <v>0</v>
      </c>
      <c r="AD20" s="36">
        <v>21</v>
      </c>
      <c r="AE20" s="36">
        <f>G20*0.289311594202899</f>
        <v>0</v>
      </c>
      <c r="AF20" s="36">
        <f>G20*(1-0.289311594202899)</f>
        <v>0</v>
      </c>
      <c r="AG20" s="31" t="s">
        <v>13</v>
      </c>
      <c r="AM20" s="36">
        <f>F20*AE20</f>
        <v>0</v>
      </c>
      <c r="AN20" s="36">
        <f>F20*AF20</f>
        <v>0</v>
      </c>
      <c r="AO20" s="37" t="s">
        <v>213</v>
      </c>
      <c r="AP20" s="37" t="s">
        <v>223</v>
      </c>
      <c r="AQ20" s="27" t="s">
        <v>231</v>
      </c>
      <c r="AS20" s="36">
        <f>AM20+AN20</f>
        <v>0</v>
      </c>
      <c r="AT20" s="36">
        <f>G20/(100-AU20)*100</f>
        <v>0</v>
      </c>
      <c r="AU20" s="36">
        <v>0</v>
      </c>
      <c r="AV20" s="36">
        <f>L20</f>
        <v>0.00118</v>
      </c>
    </row>
    <row r="21" spans="1:37" ht="12.75">
      <c r="A21" s="4"/>
      <c r="B21" s="14" t="s">
        <v>57</v>
      </c>
      <c r="C21" s="14" t="s">
        <v>70</v>
      </c>
      <c r="D21" s="63" t="s">
        <v>123</v>
      </c>
      <c r="E21" s="64"/>
      <c r="F21" s="64"/>
      <c r="G21" s="64"/>
      <c r="H21" s="39">
        <f>SUM(H22:H24)</f>
        <v>0</v>
      </c>
      <c r="I21" s="39">
        <f>SUM(I22:I24)</f>
        <v>0</v>
      </c>
      <c r="J21" s="39">
        <f>H21+I21</f>
        <v>0</v>
      </c>
      <c r="K21" s="27"/>
      <c r="L21" s="39">
        <f>SUM(L22:L24)</f>
        <v>0.08784</v>
      </c>
      <c r="M21" s="27"/>
      <c r="Y21" s="27" t="s">
        <v>57</v>
      </c>
      <c r="AI21" s="39">
        <f>SUM(Z22:Z24)</f>
        <v>0</v>
      </c>
      <c r="AJ21" s="39">
        <f>SUM(AA22:AA24)</f>
        <v>0</v>
      </c>
      <c r="AK21" s="39">
        <f>SUM(AB22:AB24)</f>
        <v>0</v>
      </c>
    </row>
    <row r="22" spans="1:48" ht="12.75">
      <c r="A22" s="5" t="s">
        <v>13</v>
      </c>
      <c r="B22" s="5" t="s">
        <v>57</v>
      </c>
      <c r="C22" s="5" t="s">
        <v>71</v>
      </c>
      <c r="D22" s="5" t="s">
        <v>124</v>
      </c>
      <c r="E22" s="5" t="s">
        <v>178</v>
      </c>
      <c r="F22" s="18">
        <v>2</v>
      </c>
      <c r="G22" s="18">
        <v>0</v>
      </c>
      <c r="H22" s="18">
        <f>F22*AE22</f>
        <v>0</v>
      </c>
      <c r="I22" s="18">
        <f>J22-H22</f>
        <v>0</v>
      </c>
      <c r="J22" s="18">
        <f>F22*G22</f>
        <v>0</v>
      </c>
      <c r="K22" s="18">
        <v>0.00706</v>
      </c>
      <c r="L22" s="18">
        <f>F22*K22</f>
        <v>0.01412</v>
      </c>
      <c r="M22" s="31" t="s">
        <v>200</v>
      </c>
      <c r="P22" s="36">
        <f>IF(AG22="5",J22,0)</f>
        <v>0</v>
      </c>
      <c r="R22" s="36">
        <f>IF(AG22="1",H22,0)</f>
        <v>0</v>
      </c>
      <c r="S22" s="36">
        <f>IF(AG22="1",I22,0)</f>
        <v>0</v>
      </c>
      <c r="T22" s="36">
        <f>IF(AG22="7",H22,0)</f>
        <v>0</v>
      </c>
      <c r="U22" s="36">
        <f>IF(AG22="7",I22,0)</f>
        <v>0</v>
      </c>
      <c r="V22" s="36">
        <f>IF(AG22="2",H22,0)</f>
        <v>0</v>
      </c>
      <c r="W22" s="36">
        <f>IF(AG22="2",I22,0)</f>
        <v>0</v>
      </c>
      <c r="X22" s="36">
        <f>IF(AG22="0",J22,0)</f>
        <v>0</v>
      </c>
      <c r="Y22" s="27" t="s">
        <v>57</v>
      </c>
      <c r="Z22" s="18">
        <f>IF(AD22=0,J22,0)</f>
        <v>0</v>
      </c>
      <c r="AA22" s="18">
        <f>IF(AD22=15,J22,0)</f>
        <v>0</v>
      </c>
      <c r="AB22" s="18">
        <f>IF(AD22=21,J22,0)</f>
        <v>0</v>
      </c>
      <c r="AD22" s="36">
        <v>21</v>
      </c>
      <c r="AE22" s="36">
        <f>G22*0.442286810939118</f>
        <v>0</v>
      </c>
      <c r="AF22" s="36">
        <f>G22*(1-0.442286810939118)</f>
        <v>0</v>
      </c>
      <c r="AG22" s="31" t="s">
        <v>13</v>
      </c>
      <c r="AM22" s="36">
        <f>F22*AE22</f>
        <v>0</v>
      </c>
      <c r="AN22" s="36">
        <f>F22*AF22</f>
        <v>0</v>
      </c>
      <c r="AO22" s="37" t="s">
        <v>214</v>
      </c>
      <c r="AP22" s="37" t="s">
        <v>223</v>
      </c>
      <c r="AQ22" s="27" t="s">
        <v>231</v>
      </c>
      <c r="AS22" s="36">
        <f>AM22+AN22</f>
        <v>0</v>
      </c>
      <c r="AT22" s="36">
        <f>G22/(100-AU22)*100</f>
        <v>0</v>
      </c>
      <c r="AU22" s="36">
        <v>0</v>
      </c>
      <c r="AV22" s="36">
        <f>L22</f>
        <v>0.01412</v>
      </c>
    </row>
    <row r="23" spans="1:48" ht="12.75">
      <c r="A23" s="5" t="s">
        <v>14</v>
      </c>
      <c r="B23" s="5" t="s">
        <v>57</v>
      </c>
      <c r="C23" s="5" t="s">
        <v>72</v>
      </c>
      <c r="D23" s="5" t="s">
        <v>125</v>
      </c>
      <c r="E23" s="5" t="s">
        <v>178</v>
      </c>
      <c r="F23" s="18">
        <v>4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0.00829</v>
      </c>
      <c r="L23" s="18">
        <f>F23*K23</f>
        <v>0.03316</v>
      </c>
      <c r="M23" s="31" t="s">
        <v>200</v>
      </c>
      <c r="P23" s="36">
        <f>IF(AG23="5",J23,0)</f>
        <v>0</v>
      </c>
      <c r="R23" s="36">
        <f>IF(AG23="1",H23,0)</f>
        <v>0</v>
      </c>
      <c r="S23" s="36">
        <f>IF(AG23="1",I23,0)</f>
        <v>0</v>
      </c>
      <c r="T23" s="36">
        <f>IF(AG23="7",H23,0)</f>
        <v>0</v>
      </c>
      <c r="U23" s="36">
        <f>IF(AG23="7",I23,0)</f>
        <v>0</v>
      </c>
      <c r="V23" s="36">
        <f>IF(AG23="2",H23,0)</f>
        <v>0</v>
      </c>
      <c r="W23" s="36">
        <f>IF(AG23="2",I23,0)</f>
        <v>0</v>
      </c>
      <c r="X23" s="36">
        <f>IF(AG23="0",J23,0)</f>
        <v>0</v>
      </c>
      <c r="Y23" s="27" t="s">
        <v>57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G23*0.495363321799308</f>
        <v>0</v>
      </c>
      <c r="AF23" s="36">
        <f>G23*(1-0.495363321799308)</f>
        <v>0</v>
      </c>
      <c r="AG23" s="31" t="s">
        <v>13</v>
      </c>
      <c r="AM23" s="36">
        <f>F23*AE23</f>
        <v>0</v>
      </c>
      <c r="AN23" s="36">
        <f>F23*AF23</f>
        <v>0</v>
      </c>
      <c r="AO23" s="37" t="s">
        <v>214</v>
      </c>
      <c r="AP23" s="37" t="s">
        <v>223</v>
      </c>
      <c r="AQ23" s="27" t="s">
        <v>231</v>
      </c>
      <c r="AS23" s="36">
        <f>AM23+AN23</f>
        <v>0</v>
      </c>
      <c r="AT23" s="36">
        <f>G23/(100-AU23)*100</f>
        <v>0</v>
      </c>
      <c r="AU23" s="36">
        <v>0</v>
      </c>
      <c r="AV23" s="36">
        <f>L23</f>
        <v>0.03316</v>
      </c>
    </row>
    <row r="24" spans="1:48" ht="12.75">
      <c r="A24" s="5" t="s">
        <v>15</v>
      </c>
      <c r="B24" s="5" t="s">
        <v>57</v>
      </c>
      <c r="C24" s="5" t="s">
        <v>73</v>
      </c>
      <c r="D24" s="5" t="s">
        <v>126</v>
      </c>
      <c r="E24" s="5" t="s">
        <v>178</v>
      </c>
      <c r="F24" s="18">
        <v>4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0.01014</v>
      </c>
      <c r="L24" s="18">
        <f>F24*K24</f>
        <v>0.04056</v>
      </c>
      <c r="M24" s="31" t="s">
        <v>200</v>
      </c>
      <c r="P24" s="36">
        <f>IF(AG24="5",J24,0)</f>
        <v>0</v>
      </c>
      <c r="R24" s="36">
        <f>IF(AG24="1",H24,0)</f>
        <v>0</v>
      </c>
      <c r="S24" s="36">
        <f>IF(AG24="1",I24,0)</f>
        <v>0</v>
      </c>
      <c r="T24" s="36">
        <f>IF(AG24="7",H24,0)</f>
        <v>0</v>
      </c>
      <c r="U24" s="36">
        <f>IF(AG24="7",I24,0)</f>
        <v>0</v>
      </c>
      <c r="V24" s="36">
        <f>IF(AG24="2",H24,0)</f>
        <v>0</v>
      </c>
      <c r="W24" s="36">
        <f>IF(AG24="2",I24,0)</f>
        <v>0</v>
      </c>
      <c r="X24" s="36">
        <f>IF(AG24="0",J24,0)</f>
        <v>0</v>
      </c>
      <c r="Y24" s="27" t="s">
        <v>57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21</v>
      </c>
      <c r="AE24" s="36">
        <f>G24*0.553261163734777</f>
        <v>0</v>
      </c>
      <c r="AF24" s="36">
        <f>G24*(1-0.553261163734777)</f>
        <v>0</v>
      </c>
      <c r="AG24" s="31" t="s">
        <v>13</v>
      </c>
      <c r="AM24" s="36">
        <f>F24*AE24</f>
        <v>0</v>
      </c>
      <c r="AN24" s="36">
        <f>F24*AF24</f>
        <v>0</v>
      </c>
      <c r="AO24" s="37" t="s">
        <v>214</v>
      </c>
      <c r="AP24" s="37" t="s">
        <v>223</v>
      </c>
      <c r="AQ24" s="27" t="s">
        <v>231</v>
      </c>
      <c r="AS24" s="36">
        <f>AM24+AN24</f>
        <v>0</v>
      </c>
      <c r="AT24" s="36">
        <f>G24/(100-AU24)*100</f>
        <v>0</v>
      </c>
      <c r="AU24" s="36">
        <v>0</v>
      </c>
      <c r="AV24" s="36">
        <f>L24</f>
        <v>0.04056</v>
      </c>
    </row>
    <row r="25" spans="1:37" ht="12.75">
      <c r="A25" s="4"/>
      <c r="B25" s="14" t="s">
        <v>57</v>
      </c>
      <c r="C25" s="14" t="s">
        <v>74</v>
      </c>
      <c r="D25" s="63" t="s">
        <v>127</v>
      </c>
      <c r="E25" s="64"/>
      <c r="F25" s="64"/>
      <c r="G25" s="64"/>
      <c r="H25" s="39">
        <f>SUM(H26:H36)</f>
        <v>0</v>
      </c>
      <c r="I25" s="39">
        <f>SUM(I26:I36)</f>
        <v>0</v>
      </c>
      <c r="J25" s="39">
        <f>H25+I25</f>
        <v>0</v>
      </c>
      <c r="K25" s="27"/>
      <c r="L25" s="39">
        <f>SUM(L26:L36)</f>
        <v>0.07830000000000001</v>
      </c>
      <c r="M25" s="27"/>
      <c r="Y25" s="27" t="s">
        <v>57</v>
      </c>
      <c r="AI25" s="39">
        <f>SUM(Z26:Z36)</f>
        <v>0</v>
      </c>
      <c r="AJ25" s="39">
        <f>SUM(AA26:AA36)</f>
        <v>0</v>
      </c>
      <c r="AK25" s="39">
        <f>SUM(AB26:AB36)</f>
        <v>0</v>
      </c>
    </row>
    <row r="26" spans="1:48" ht="12.75">
      <c r="A26" s="5" t="s">
        <v>16</v>
      </c>
      <c r="B26" s="5" t="s">
        <v>57</v>
      </c>
      <c r="C26" s="5" t="s">
        <v>75</v>
      </c>
      <c r="D26" s="5" t="s">
        <v>128</v>
      </c>
      <c r="E26" s="5" t="s">
        <v>179</v>
      </c>
      <c r="F26" s="18">
        <v>18</v>
      </c>
      <c r="G26" s="18">
        <v>0</v>
      </c>
      <c r="H26" s="18">
        <f aca="true" t="shared" si="0" ref="H26:H36">F26*AE26</f>
        <v>0</v>
      </c>
      <c r="I26" s="18">
        <f aca="true" t="shared" si="1" ref="I26:I36">J26-H26</f>
        <v>0</v>
      </c>
      <c r="J26" s="18">
        <f aca="true" t="shared" si="2" ref="J26:J36">F26*G26</f>
        <v>0</v>
      </c>
      <c r="K26" s="18">
        <v>0.00237</v>
      </c>
      <c r="L26" s="18">
        <f aca="true" t="shared" si="3" ref="L26:L36">F26*K26</f>
        <v>0.042660000000000003</v>
      </c>
      <c r="M26" s="31" t="s">
        <v>200</v>
      </c>
      <c r="P26" s="36">
        <f aca="true" t="shared" si="4" ref="P26:P36">IF(AG26="5",J26,0)</f>
        <v>0</v>
      </c>
      <c r="R26" s="36">
        <f aca="true" t="shared" si="5" ref="R26:R36">IF(AG26="1",H26,0)</f>
        <v>0</v>
      </c>
      <c r="S26" s="36">
        <f aca="true" t="shared" si="6" ref="S26:S36">IF(AG26="1",I26,0)</f>
        <v>0</v>
      </c>
      <c r="T26" s="36">
        <f aca="true" t="shared" si="7" ref="T26:T36">IF(AG26="7",H26,0)</f>
        <v>0</v>
      </c>
      <c r="U26" s="36">
        <f aca="true" t="shared" si="8" ref="U26:U36">IF(AG26="7",I26,0)</f>
        <v>0</v>
      </c>
      <c r="V26" s="36">
        <f aca="true" t="shared" si="9" ref="V26:V36">IF(AG26="2",H26,0)</f>
        <v>0</v>
      </c>
      <c r="W26" s="36">
        <f aca="true" t="shared" si="10" ref="W26:W36">IF(AG26="2",I26,0)</f>
        <v>0</v>
      </c>
      <c r="X26" s="36">
        <f aca="true" t="shared" si="11" ref="X26:X36">IF(AG26="0",J26,0)</f>
        <v>0</v>
      </c>
      <c r="Y26" s="27" t="s">
        <v>57</v>
      </c>
      <c r="Z26" s="18">
        <f aca="true" t="shared" si="12" ref="Z26:Z36">IF(AD26=0,J26,0)</f>
        <v>0</v>
      </c>
      <c r="AA26" s="18">
        <f aca="true" t="shared" si="13" ref="AA26:AA36">IF(AD26=15,J26,0)</f>
        <v>0</v>
      </c>
      <c r="AB26" s="18">
        <f aca="true" t="shared" si="14" ref="AB26:AB36">IF(AD26=21,J26,0)</f>
        <v>0</v>
      </c>
      <c r="AD26" s="36">
        <v>21</v>
      </c>
      <c r="AE26" s="36">
        <f>G26*0.251770202204541</f>
        <v>0</v>
      </c>
      <c r="AF26" s="36">
        <f>G26*(1-0.251770202204541)</f>
        <v>0</v>
      </c>
      <c r="AG26" s="31" t="s">
        <v>13</v>
      </c>
      <c r="AM26" s="36">
        <f aca="true" t="shared" si="15" ref="AM26:AM36">F26*AE26</f>
        <v>0</v>
      </c>
      <c r="AN26" s="36">
        <f aca="true" t="shared" si="16" ref="AN26:AN36">F26*AF26</f>
        <v>0</v>
      </c>
      <c r="AO26" s="37" t="s">
        <v>215</v>
      </c>
      <c r="AP26" s="37" t="s">
        <v>223</v>
      </c>
      <c r="AQ26" s="27" t="s">
        <v>231</v>
      </c>
      <c r="AS26" s="36">
        <f aca="true" t="shared" si="17" ref="AS26:AS36">AM26+AN26</f>
        <v>0</v>
      </c>
      <c r="AT26" s="36">
        <f aca="true" t="shared" si="18" ref="AT26:AT36">G26/(100-AU26)*100</f>
        <v>0</v>
      </c>
      <c r="AU26" s="36">
        <v>0</v>
      </c>
      <c r="AV26" s="36">
        <f aca="true" t="shared" si="19" ref="AV26:AV36">L26</f>
        <v>0.042660000000000003</v>
      </c>
    </row>
    <row r="27" spans="1:48" ht="12.75">
      <c r="A27" s="5" t="s">
        <v>17</v>
      </c>
      <c r="B27" s="5" t="s">
        <v>57</v>
      </c>
      <c r="C27" s="5" t="s">
        <v>76</v>
      </c>
      <c r="D27" s="5" t="s">
        <v>129</v>
      </c>
      <c r="E27" s="5" t="s">
        <v>179</v>
      </c>
      <c r="F27" s="18">
        <v>3</v>
      </c>
      <c r="G27" s="18">
        <v>0</v>
      </c>
      <c r="H27" s="18">
        <f t="shared" si="0"/>
        <v>0</v>
      </c>
      <c r="I27" s="18">
        <f t="shared" si="1"/>
        <v>0</v>
      </c>
      <c r="J27" s="18">
        <f t="shared" si="2"/>
        <v>0</v>
      </c>
      <c r="K27" s="18">
        <v>0.00411</v>
      </c>
      <c r="L27" s="18">
        <f t="shared" si="3"/>
        <v>0.01233</v>
      </c>
      <c r="M27" s="31" t="s">
        <v>200</v>
      </c>
      <c r="P27" s="36">
        <f t="shared" si="4"/>
        <v>0</v>
      </c>
      <c r="R27" s="36">
        <f t="shared" si="5"/>
        <v>0</v>
      </c>
      <c r="S27" s="36">
        <f t="shared" si="6"/>
        <v>0</v>
      </c>
      <c r="T27" s="36">
        <f t="shared" si="7"/>
        <v>0</v>
      </c>
      <c r="U27" s="36">
        <f t="shared" si="8"/>
        <v>0</v>
      </c>
      <c r="V27" s="36">
        <f t="shared" si="9"/>
        <v>0</v>
      </c>
      <c r="W27" s="36">
        <f t="shared" si="10"/>
        <v>0</v>
      </c>
      <c r="X27" s="36">
        <f t="shared" si="11"/>
        <v>0</v>
      </c>
      <c r="Y27" s="27" t="s">
        <v>57</v>
      </c>
      <c r="Z27" s="18">
        <f t="shared" si="12"/>
        <v>0</v>
      </c>
      <c r="AA27" s="18">
        <f t="shared" si="13"/>
        <v>0</v>
      </c>
      <c r="AB27" s="18">
        <f t="shared" si="14"/>
        <v>0</v>
      </c>
      <c r="AD27" s="36">
        <v>21</v>
      </c>
      <c r="AE27" s="36">
        <f>G27*0.144568245125348</f>
        <v>0</v>
      </c>
      <c r="AF27" s="36">
        <f>G27*(1-0.144568245125348)</f>
        <v>0</v>
      </c>
      <c r="AG27" s="31" t="s">
        <v>13</v>
      </c>
      <c r="AM27" s="36">
        <f t="shared" si="15"/>
        <v>0</v>
      </c>
      <c r="AN27" s="36">
        <f t="shared" si="16"/>
        <v>0</v>
      </c>
      <c r="AO27" s="37" t="s">
        <v>215</v>
      </c>
      <c r="AP27" s="37" t="s">
        <v>223</v>
      </c>
      <c r="AQ27" s="27" t="s">
        <v>231</v>
      </c>
      <c r="AS27" s="36">
        <f t="shared" si="17"/>
        <v>0</v>
      </c>
      <c r="AT27" s="36">
        <f t="shared" si="18"/>
        <v>0</v>
      </c>
      <c r="AU27" s="36">
        <v>0</v>
      </c>
      <c r="AV27" s="36">
        <f t="shared" si="19"/>
        <v>0.01233</v>
      </c>
    </row>
    <row r="28" spans="1:48" ht="12.75">
      <c r="A28" s="5" t="s">
        <v>18</v>
      </c>
      <c r="B28" s="5" t="s">
        <v>57</v>
      </c>
      <c r="C28" s="5" t="s">
        <v>77</v>
      </c>
      <c r="D28" s="5" t="s">
        <v>130</v>
      </c>
      <c r="E28" s="5" t="s">
        <v>179</v>
      </c>
      <c r="F28" s="18">
        <v>3</v>
      </c>
      <c r="G28" s="18">
        <v>0</v>
      </c>
      <c r="H28" s="18">
        <f t="shared" si="0"/>
        <v>0</v>
      </c>
      <c r="I28" s="18">
        <f t="shared" si="1"/>
        <v>0</v>
      </c>
      <c r="J28" s="18">
        <f t="shared" si="2"/>
        <v>0</v>
      </c>
      <c r="K28" s="18">
        <v>0</v>
      </c>
      <c r="L28" s="18">
        <f t="shared" si="3"/>
        <v>0</v>
      </c>
      <c r="M28" s="31" t="s">
        <v>200</v>
      </c>
      <c r="P28" s="36">
        <f t="shared" si="4"/>
        <v>0</v>
      </c>
      <c r="R28" s="36">
        <f t="shared" si="5"/>
        <v>0</v>
      </c>
      <c r="S28" s="36">
        <f t="shared" si="6"/>
        <v>0</v>
      </c>
      <c r="T28" s="36">
        <f t="shared" si="7"/>
        <v>0</v>
      </c>
      <c r="U28" s="36">
        <f t="shared" si="8"/>
        <v>0</v>
      </c>
      <c r="V28" s="36">
        <f t="shared" si="9"/>
        <v>0</v>
      </c>
      <c r="W28" s="36">
        <f t="shared" si="10"/>
        <v>0</v>
      </c>
      <c r="X28" s="36">
        <f t="shared" si="11"/>
        <v>0</v>
      </c>
      <c r="Y28" s="27" t="s">
        <v>57</v>
      </c>
      <c r="Z28" s="18">
        <f t="shared" si="12"/>
        <v>0</v>
      </c>
      <c r="AA28" s="18">
        <f t="shared" si="13"/>
        <v>0</v>
      </c>
      <c r="AB28" s="18">
        <f t="shared" si="14"/>
        <v>0</v>
      </c>
      <c r="AD28" s="36">
        <v>21</v>
      </c>
      <c r="AE28" s="36">
        <f>G28*0.0404561824729892</f>
        <v>0</v>
      </c>
      <c r="AF28" s="36">
        <f>G28*(1-0.0404561824729892)</f>
        <v>0</v>
      </c>
      <c r="AG28" s="31" t="s">
        <v>13</v>
      </c>
      <c r="AM28" s="36">
        <f t="shared" si="15"/>
        <v>0</v>
      </c>
      <c r="AN28" s="36">
        <f t="shared" si="16"/>
        <v>0</v>
      </c>
      <c r="AO28" s="37" t="s">
        <v>215</v>
      </c>
      <c r="AP28" s="37" t="s">
        <v>223</v>
      </c>
      <c r="AQ28" s="27" t="s">
        <v>231</v>
      </c>
      <c r="AS28" s="36">
        <f t="shared" si="17"/>
        <v>0</v>
      </c>
      <c r="AT28" s="36">
        <f t="shared" si="18"/>
        <v>0</v>
      </c>
      <c r="AU28" s="36">
        <v>0</v>
      </c>
      <c r="AV28" s="36">
        <f t="shared" si="19"/>
        <v>0</v>
      </c>
    </row>
    <row r="29" spans="1:48" ht="12.75">
      <c r="A29" s="5" t="s">
        <v>19</v>
      </c>
      <c r="B29" s="5" t="s">
        <v>57</v>
      </c>
      <c r="C29" s="5" t="s">
        <v>78</v>
      </c>
      <c r="D29" s="5" t="s">
        <v>131</v>
      </c>
      <c r="E29" s="5" t="s">
        <v>179</v>
      </c>
      <c r="F29" s="18">
        <v>1</v>
      </c>
      <c r="G29" s="18">
        <v>0</v>
      </c>
      <c r="H29" s="18">
        <f t="shared" si="0"/>
        <v>0</v>
      </c>
      <c r="I29" s="18">
        <f t="shared" si="1"/>
        <v>0</v>
      </c>
      <c r="J29" s="18">
        <f t="shared" si="2"/>
        <v>0</v>
      </c>
      <c r="K29" s="18">
        <v>0</v>
      </c>
      <c r="L29" s="18">
        <f t="shared" si="3"/>
        <v>0</v>
      </c>
      <c r="M29" s="31" t="s">
        <v>200</v>
      </c>
      <c r="P29" s="36">
        <f t="shared" si="4"/>
        <v>0</v>
      </c>
      <c r="R29" s="36">
        <f t="shared" si="5"/>
        <v>0</v>
      </c>
      <c r="S29" s="36">
        <f t="shared" si="6"/>
        <v>0</v>
      </c>
      <c r="T29" s="36">
        <f t="shared" si="7"/>
        <v>0</v>
      </c>
      <c r="U29" s="36">
        <f t="shared" si="8"/>
        <v>0</v>
      </c>
      <c r="V29" s="36">
        <f t="shared" si="9"/>
        <v>0</v>
      </c>
      <c r="W29" s="36">
        <f t="shared" si="10"/>
        <v>0</v>
      </c>
      <c r="X29" s="36">
        <f t="shared" si="11"/>
        <v>0</v>
      </c>
      <c r="Y29" s="27" t="s">
        <v>57</v>
      </c>
      <c r="Z29" s="18">
        <f t="shared" si="12"/>
        <v>0</v>
      </c>
      <c r="AA29" s="18">
        <f t="shared" si="13"/>
        <v>0</v>
      </c>
      <c r="AB29" s="18">
        <f t="shared" si="14"/>
        <v>0</v>
      </c>
      <c r="AD29" s="36">
        <v>21</v>
      </c>
      <c r="AE29" s="36">
        <f>G29*0.0866878379538237</f>
        <v>0</v>
      </c>
      <c r="AF29" s="36">
        <f>G29*(1-0.0866878379538237)</f>
        <v>0</v>
      </c>
      <c r="AG29" s="31" t="s">
        <v>13</v>
      </c>
      <c r="AM29" s="36">
        <f t="shared" si="15"/>
        <v>0</v>
      </c>
      <c r="AN29" s="36">
        <f t="shared" si="16"/>
        <v>0</v>
      </c>
      <c r="AO29" s="37" t="s">
        <v>215</v>
      </c>
      <c r="AP29" s="37" t="s">
        <v>223</v>
      </c>
      <c r="AQ29" s="27" t="s">
        <v>231</v>
      </c>
      <c r="AS29" s="36">
        <f t="shared" si="17"/>
        <v>0</v>
      </c>
      <c r="AT29" s="36">
        <f t="shared" si="18"/>
        <v>0</v>
      </c>
      <c r="AU29" s="36">
        <v>0</v>
      </c>
      <c r="AV29" s="36">
        <f t="shared" si="19"/>
        <v>0</v>
      </c>
    </row>
    <row r="30" spans="1:48" ht="12.75">
      <c r="A30" s="5" t="s">
        <v>20</v>
      </c>
      <c r="B30" s="5" t="s">
        <v>57</v>
      </c>
      <c r="C30" s="5" t="s">
        <v>79</v>
      </c>
      <c r="D30" s="5" t="s">
        <v>132</v>
      </c>
      <c r="E30" s="5" t="s">
        <v>179</v>
      </c>
      <c r="F30" s="18">
        <v>2</v>
      </c>
      <c r="G30" s="18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  <c r="K30" s="18">
        <v>0</v>
      </c>
      <c r="L30" s="18">
        <f t="shared" si="3"/>
        <v>0</v>
      </c>
      <c r="M30" s="31" t="s">
        <v>200</v>
      </c>
      <c r="P30" s="36">
        <f t="shared" si="4"/>
        <v>0</v>
      </c>
      <c r="R30" s="36">
        <f t="shared" si="5"/>
        <v>0</v>
      </c>
      <c r="S30" s="36">
        <f t="shared" si="6"/>
        <v>0</v>
      </c>
      <c r="T30" s="36">
        <f t="shared" si="7"/>
        <v>0</v>
      </c>
      <c r="U30" s="36">
        <f t="shared" si="8"/>
        <v>0</v>
      </c>
      <c r="V30" s="36">
        <f t="shared" si="9"/>
        <v>0</v>
      </c>
      <c r="W30" s="36">
        <f t="shared" si="10"/>
        <v>0</v>
      </c>
      <c r="X30" s="36">
        <f t="shared" si="11"/>
        <v>0</v>
      </c>
      <c r="Y30" s="27" t="s">
        <v>57</v>
      </c>
      <c r="Z30" s="18">
        <f t="shared" si="12"/>
        <v>0</v>
      </c>
      <c r="AA30" s="18">
        <f t="shared" si="13"/>
        <v>0</v>
      </c>
      <c r="AB30" s="18">
        <f t="shared" si="14"/>
        <v>0</v>
      </c>
      <c r="AD30" s="36">
        <v>21</v>
      </c>
      <c r="AE30" s="36">
        <f>G30*0.0969064748201439</f>
        <v>0</v>
      </c>
      <c r="AF30" s="36">
        <f>G30*(1-0.0969064748201439)</f>
        <v>0</v>
      </c>
      <c r="AG30" s="31" t="s">
        <v>13</v>
      </c>
      <c r="AM30" s="36">
        <f t="shared" si="15"/>
        <v>0</v>
      </c>
      <c r="AN30" s="36">
        <f t="shared" si="16"/>
        <v>0</v>
      </c>
      <c r="AO30" s="37" t="s">
        <v>215</v>
      </c>
      <c r="AP30" s="37" t="s">
        <v>223</v>
      </c>
      <c r="AQ30" s="27" t="s">
        <v>231</v>
      </c>
      <c r="AS30" s="36">
        <f t="shared" si="17"/>
        <v>0</v>
      </c>
      <c r="AT30" s="36">
        <f t="shared" si="18"/>
        <v>0</v>
      </c>
      <c r="AU30" s="36">
        <v>0</v>
      </c>
      <c r="AV30" s="36">
        <f t="shared" si="19"/>
        <v>0</v>
      </c>
    </row>
    <row r="31" spans="1:48" ht="12.75">
      <c r="A31" s="5" t="s">
        <v>21</v>
      </c>
      <c r="B31" s="5" t="s">
        <v>57</v>
      </c>
      <c r="C31" s="5" t="s">
        <v>80</v>
      </c>
      <c r="D31" s="5" t="s">
        <v>133</v>
      </c>
      <c r="E31" s="5" t="s">
        <v>179</v>
      </c>
      <c r="F31" s="18">
        <v>12</v>
      </c>
      <c r="G31" s="18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  <c r="K31" s="18">
        <v>0.00104</v>
      </c>
      <c r="L31" s="18">
        <f t="shared" si="3"/>
        <v>0.012479999999999998</v>
      </c>
      <c r="M31" s="31" t="s">
        <v>200</v>
      </c>
      <c r="P31" s="36">
        <f t="shared" si="4"/>
        <v>0</v>
      </c>
      <c r="R31" s="36">
        <f t="shared" si="5"/>
        <v>0</v>
      </c>
      <c r="S31" s="36">
        <f t="shared" si="6"/>
        <v>0</v>
      </c>
      <c r="T31" s="36">
        <f t="shared" si="7"/>
        <v>0</v>
      </c>
      <c r="U31" s="36">
        <f t="shared" si="8"/>
        <v>0</v>
      </c>
      <c r="V31" s="36">
        <f t="shared" si="9"/>
        <v>0</v>
      </c>
      <c r="W31" s="36">
        <f t="shared" si="10"/>
        <v>0</v>
      </c>
      <c r="X31" s="36">
        <f t="shared" si="11"/>
        <v>0</v>
      </c>
      <c r="Y31" s="27" t="s">
        <v>57</v>
      </c>
      <c r="Z31" s="18">
        <f t="shared" si="12"/>
        <v>0</v>
      </c>
      <c r="AA31" s="18">
        <f t="shared" si="13"/>
        <v>0</v>
      </c>
      <c r="AB31" s="18">
        <f t="shared" si="14"/>
        <v>0</v>
      </c>
      <c r="AD31" s="36">
        <v>21</v>
      </c>
      <c r="AE31" s="36">
        <f>G31*0.835500633713562</f>
        <v>0</v>
      </c>
      <c r="AF31" s="36">
        <f>G31*(1-0.835500633713562)</f>
        <v>0</v>
      </c>
      <c r="AG31" s="31" t="s">
        <v>13</v>
      </c>
      <c r="AM31" s="36">
        <f t="shared" si="15"/>
        <v>0</v>
      </c>
      <c r="AN31" s="36">
        <f t="shared" si="16"/>
        <v>0</v>
      </c>
      <c r="AO31" s="37" t="s">
        <v>215</v>
      </c>
      <c r="AP31" s="37" t="s">
        <v>223</v>
      </c>
      <c r="AQ31" s="27" t="s">
        <v>231</v>
      </c>
      <c r="AS31" s="36">
        <f t="shared" si="17"/>
        <v>0</v>
      </c>
      <c r="AT31" s="36">
        <f t="shared" si="18"/>
        <v>0</v>
      </c>
      <c r="AU31" s="36">
        <v>0</v>
      </c>
      <c r="AV31" s="36">
        <f t="shared" si="19"/>
        <v>0.012479999999999998</v>
      </c>
    </row>
    <row r="32" spans="1:48" ht="12.75">
      <c r="A32" s="5" t="s">
        <v>22</v>
      </c>
      <c r="B32" s="5" t="s">
        <v>57</v>
      </c>
      <c r="C32" s="5" t="s">
        <v>81</v>
      </c>
      <c r="D32" s="5" t="s">
        <v>134</v>
      </c>
      <c r="E32" s="5" t="s">
        <v>179</v>
      </c>
      <c r="F32" s="18">
        <v>3</v>
      </c>
      <c r="G32" s="18">
        <v>0</v>
      </c>
      <c r="H32" s="18">
        <f t="shared" si="0"/>
        <v>0</v>
      </c>
      <c r="I32" s="18">
        <f t="shared" si="1"/>
        <v>0</v>
      </c>
      <c r="J32" s="18">
        <f t="shared" si="2"/>
        <v>0</v>
      </c>
      <c r="K32" s="18">
        <v>0.00068</v>
      </c>
      <c r="L32" s="18">
        <f t="shared" si="3"/>
        <v>0.00204</v>
      </c>
      <c r="M32" s="31" t="s">
        <v>200</v>
      </c>
      <c r="P32" s="36">
        <f t="shared" si="4"/>
        <v>0</v>
      </c>
      <c r="R32" s="36">
        <f t="shared" si="5"/>
        <v>0</v>
      </c>
      <c r="S32" s="36">
        <f t="shared" si="6"/>
        <v>0</v>
      </c>
      <c r="T32" s="36">
        <f t="shared" si="7"/>
        <v>0</v>
      </c>
      <c r="U32" s="36">
        <f t="shared" si="8"/>
        <v>0</v>
      </c>
      <c r="V32" s="36">
        <f t="shared" si="9"/>
        <v>0</v>
      </c>
      <c r="W32" s="36">
        <f t="shared" si="10"/>
        <v>0</v>
      </c>
      <c r="X32" s="36">
        <f t="shared" si="11"/>
        <v>0</v>
      </c>
      <c r="Y32" s="27" t="s">
        <v>57</v>
      </c>
      <c r="Z32" s="18">
        <f t="shared" si="12"/>
        <v>0</v>
      </c>
      <c r="AA32" s="18">
        <f t="shared" si="13"/>
        <v>0</v>
      </c>
      <c r="AB32" s="18">
        <f t="shared" si="14"/>
        <v>0</v>
      </c>
      <c r="AD32" s="36">
        <v>21</v>
      </c>
      <c r="AE32" s="36">
        <f>G32*0.825316285329744</f>
        <v>0</v>
      </c>
      <c r="AF32" s="36">
        <f>G32*(1-0.825316285329744)</f>
        <v>0</v>
      </c>
      <c r="AG32" s="31" t="s">
        <v>13</v>
      </c>
      <c r="AM32" s="36">
        <f t="shared" si="15"/>
        <v>0</v>
      </c>
      <c r="AN32" s="36">
        <f t="shared" si="16"/>
        <v>0</v>
      </c>
      <c r="AO32" s="37" t="s">
        <v>215</v>
      </c>
      <c r="AP32" s="37" t="s">
        <v>223</v>
      </c>
      <c r="AQ32" s="27" t="s">
        <v>231</v>
      </c>
      <c r="AS32" s="36">
        <f t="shared" si="17"/>
        <v>0</v>
      </c>
      <c r="AT32" s="36">
        <f t="shared" si="18"/>
        <v>0</v>
      </c>
      <c r="AU32" s="36">
        <v>0</v>
      </c>
      <c r="AV32" s="36">
        <f t="shared" si="19"/>
        <v>0.00204</v>
      </c>
    </row>
    <row r="33" spans="1:48" ht="12.75">
      <c r="A33" s="5" t="s">
        <v>23</v>
      </c>
      <c r="B33" s="5" t="s">
        <v>57</v>
      </c>
      <c r="C33" s="5" t="s">
        <v>82</v>
      </c>
      <c r="D33" s="5" t="s">
        <v>135</v>
      </c>
      <c r="E33" s="5" t="s">
        <v>179</v>
      </c>
      <c r="F33" s="18">
        <v>6</v>
      </c>
      <c r="G33" s="18">
        <v>0</v>
      </c>
      <c r="H33" s="18">
        <f t="shared" si="0"/>
        <v>0</v>
      </c>
      <c r="I33" s="18">
        <f t="shared" si="1"/>
        <v>0</v>
      </c>
      <c r="J33" s="18">
        <f t="shared" si="2"/>
        <v>0</v>
      </c>
      <c r="K33" s="18">
        <v>0.00084</v>
      </c>
      <c r="L33" s="18">
        <f t="shared" si="3"/>
        <v>0.00504</v>
      </c>
      <c r="M33" s="31" t="s">
        <v>200</v>
      </c>
      <c r="P33" s="36">
        <f t="shared" si="4"/>
        <v>0</v>
      </c>
      <c r="R33" s="36">
        <f t="shared" si="5"/>
        <v>0</v>
      </c>
      <c r="S33" s="36">
        <f t="shared" si="6"/>
        <v>0</v>
      </c>
      <c r="T33" s="36">
        <f t="shared" si="7"/>
        <v>0</v>
      </c>
      <c r="U33" s="36">
        <f t="shared" si="8"/>
        <v>0</v>
      </c>
      <c r="V33" s="36">
        <f t="shared" si="9"/>
        <v>0</v>
      </c>
      <c r="W33" s="36">
        <f t="shared" si="10"/>
        <v>0</v>
      </c>
      <c r="X33" s="36">
        <f t="shared" si="11"/>
        <v>0</v>
      </c>
      <c r="Y33" s="27" t="s">
        <v>57</v>
      </c>
      <c r="Z33" s="18">
        <f t="shared" si="12"/>
        <v>0</v>
      </c>
      <c r="AA33" s="18">
        <f t="shared" si="13"/>
        <v>0</v>
      </c>
      <c r="AB33" s="18">
        <f t="shared" si="14"/>
        <v>0</v>
      </c>
      <c r="AD33" s="36">
        <v>21</v>
      </c>
      <c r="AE33" s="36">
        <f>G33*0.825316285329744</f>
        <v>0</v>
      </c>
      <c r="AF33" s="36">
        <f>G33*(1-0.825316285329744)</f>
        <v>0</v>
      </c>
      <c r="AG33" s="31" t="s">
        <v>13</v>
      </c>
      <c r="AM33" s="36">
        <f t="shared" si="15"/>
        <v>0</v>
      </c>
      <c r="AN33" s="36">
        <f t="shared" si="16"/>
        <v>0</v>
      </c>
      <c r="AO33" s="37" t="s">
        <v>215</v>
      </c>
      <c r="AP33" s="37" t="s">
        <v>223</v>
      </c>
      <c r="AQ33" s="27" t="s">
        <v>231</v>
      </c>
      <c r="AS33" s="36">
        <f t="shared" si="17"/>
        <v>0</v>
      </c>
      <c r="AT33" s="36">
        <f t="shared" si="18"/>
        <v>0</v>
      </c>
      <c r="AU33" s="36">
        <v>0</v>
      </c>
      <c r="AV33" s="36">
        <f t="shared" si="19"/>
        <v>0.00504</v>
      </c>
    </row>
    <row r="34" spans="1:48" ht="12.75">
      <c r="A34" s="5" t="s">
        <v>24</v>
      </c>
      <c r="B34" s="5" t="s">
        <v>57</v>
      </c>
      <c r="C34" s="5" t="s">
        <v>83</v>
      </c>
      <c r="D34" s="5" t="s">
        <v>136</v>
      </c>
      <c r="E34" s="5" t="s">
        <v>179</v>
      </c>
      <c r="F34" s="18">
        <v>6</v>
      </c>
      <c r="G34" s="18">
        <v>0</v>
      </c>
      <c r="H34" s="18">
        <f t="shared" si="0"/>
        <v>0</v>
      </c>
      <c r="I34" s="18">
        <f t="shared" si="1"/>
        <v>0</v>
      </c>
      <c r="J34" s="18">
        <f t="shared" si="2"/>
        <v>0</v>
      </c>
      <c r="K34" s="18">
        <v>0.00019</v>
      </c>
      <c r="L34" s="18">
        <f t="shared" si="3"/>
        <v>0.00114</v>
      </c>
      <c r="M34" s="31" t="s">
        <v>200</v>
      </c>
      <c r="P34" s="36">
        <f t="shared" si="4"/>
        <v>0</v>
      </c>
      <c r="R34" s="36">
        <f t="shared" si="5"/>
        <v>0</v>
      </c>
      <c r="S34" s="36">
        <f t="shared" si="6"/>
        <v>0</v>
      </c>
      <c r="T34" s="36">
        <f t="shared" si="7"/>
        <v>0</v>
      </c>
      <c r="U34" s="36">
        <f t="shared" si="8"/>
        <v>0</v>
      </c>
      <c r="V34" s="36">
        <f t="shared" si="9"/>
        <v>0</v>
      </c>
      <c r="W34" s="36">
        <f t="shared" si="10"/>
        <v>0</v>
      </c>
      <c r="X34" s="36">
        <f t="shared" si="11"/>
        <v>0</v>
      </c>
      <c r="Y34" s="27" t="s">
        <v>57</v>
      </c>
      <c r="Z34" s="18">
        <f t="shared" si="12"/>
        <v>0</v>
      </c>
      <c r="AA34" s="18">
        <f t="shared" si="13"/>
        <v>0</v>
      </c>
      <c r="AB34" s="18">
        <f t="shared" si="14"/>
        <v>0</v>
      </c>
      <c r="AD34" s="36">
        <v>21</v>
      </c>
      <c r="AE34" s="36">
        <f>G34*0.830909090909091</f>
        <v>0</v>
      </c>
      <c r="AF34" s="36">
        <f>G34*(1-0.830909090909091)</f>
        <v>0</v>
      </c>
      <c r="AG34" s="31" t="s">
        <v>13</v>
      </c>
      <c r="AM34" s="36">
        <f t="shared" si="15"/>
        <v>0</v>
      </c>
      <c r="AN34" s="36">
        <f t="shared" si="16"/>
        <v>0</v>
      </c>
      <c r="AO34" s="37" t="s">
        <v>215</v>
      </c>
      <c r="AP34" s="37" t="s">
        <v>223</v>
      </c>
      <c r="AQ34" s="27" t="s">
        <v>231</v>
      </c>
      <c r="AS34" s="36">
        <f t="shared" si="17"/>
        <v>0</v>
      </c>
      <c r="AT34" s="36">
        <f t="shared" si="18"/>
        <v>0</v>
      </c>
      <c r="AU34" s="36">
        <v>0</v>
      </c>
      <c r="AV34" s="36">
        <f t="shared" si="19"/>
        <v>0.00114</v>
      </c>
    </row>
    <row r="35" spans="1:48" ht="12.75">
      <c r="A35" s="5" t="s">
        <v>25</v>
      </c>
      <c r="B35" s="5" t="s">
        <v>57</v>
      </c>
      <c r="C35" s="5" t="s">
        <v>84</v>
      </c>
      <c r="D35" s="5" t="s">
        <v>137</v>
      </c>
      <c r="E35" s="5" t="s">
        <v>179</v>
      </c>
      <c r="F35" s="18">
        <v>3</v>
      </c>
      <c r="G35" s="18">
        <v>0</v>
      </c>
      <c r="H35" s="18">
        <f t="shared" si="0"/>
        <v>0</v>
      </c>
      <c r="I35" s="18">
        <f t="shared" si="1"/>
        <v>0</v>
      </c>
      <c r="J35" s="18">
        <f t="shared" si="2"/>
        <v>0</v>
      </c>
      <c r="K35" s="18">
        <v>0.00041</v>
      </c>
      <c r="L35" s="18">
        <f t="shared" si="3"/>
        <v>0.00123</v>
      </c>
      <c r="M35" s="31" t="s">
        <v>200</v>
      </c>
      <c r="P35" s="36">
        <f t="shared" si="4"/>
        <v>0</v>
      </c>
      <c r="R35" s="36">
        <f t="shared" si="5"/>
        <v>0</v>
      </c>
      <c r="S35" s="36">
        <f t="shared" si="6"/>
        <v>0</v>
      </c>
      <c r="T35" s="36">
        <f t="shared" si="7"/>
        <v>0</v>
      </c>
      <c r="U35" s="36">
        <f t="shared" si="8"/>
        <v>0</v>
      </c>
      <c r="V35" s="36">
        <f t="shared" si="9"/>
        <v>0</v>
      </c>
      <c r="W35" s="36">
        <f t="shared" si="10"/>
        <v>0</v>
      </c>
      <c r="X35" s="36">
        <f t="shared" si="11"/>
        <v>0</v>
      </c>
      <c r="Y35" s="27" t="s">
        <v>57</v>
      </c>
      <c r="Z35" s="18">
        <f t="shared" si="12"/>
        <v>0</v>
      </c>
      <c r="AA35" s="18">
        <f t="shared" si="13"/>
        <v>0</v>
      </c>
      <c r="AB35" s="18">
        <f t="shared" si="14"/>
        <v>0</v>
      </c>
      <c r="AD35" s="36">
        <v>21</v>
      </c>
      <c r="AE35" s="36">
        <f>G35*0.0435216610101817</f>
        <v>0</v>
      </c>
      <c r="AF35" s="36">
        <f>G35*(1-0.0435216610101817)</f>
        <v>0</v>
      </c>
      <c r="AG35" s="31" t="s">
        <v>13</v>
      </c>
      <c r="AM35" s="36">
        <f t="shared" si="15"/>
        <v>0</v>
      </c>
      <c r="AN35" s="36">
        <f t="shared" si="16"/>
        <v>0</v>
      </c>
      <c r="AO35" s="37" t="s">
        <v>215</v>
      </c>
      <c r="AP35" s="37" t="s">
        <v>223</v>
      </c>
      <c r="AQ35" s="27" t="s">
        <v>231</v>
      </c>
      <c r="AS35" s="36">
        <f t="shared" si="17"/>
        <v>0</v>
      </c>
      <c r="AT35" s="36">
        <f t="shared" si="18"/>
        <v>0</v>
      </c>
      <c r="AU35" s="36">
        <v>0</v>
      </c>
      <c r="AV35" s="36">
        <f t="shared" si="19"/>
        <v>0.00123</v>
      </c>
    </row>
    <row r="36" spans="1:48" ht="12.75">
      <c r="A36" s="5" t="s">
        <v>26</v>
      </c>
      <c r="B36" s="5" t="s">
        <v>57</v>
      </c>
      <c r="C36" s="5" t="s">
        <v>85</v>
      </c>
      <c r="D36" s="5" t="s">
        <v>138</v>
      </c>
      <c r="E36" s="5" t="s">
        <v>179</v>
      </c>
      <c r="F36" s="18">
        <v>6</v>
      </c>
      <c r="G36" s="18">
        <v>0</v>
      </c>
      <c r="H36" s="18">
        <f t="shared" si="0"/>
        <v>0</v>
      </c>
      <c r="I36" s="18">
        <f t="shared" si="1"/>
        <v>0</v>
      </c>
      <c r="J36" s="18">
        <f t="shared" si="2"/>
        <v>0</v>
      </c>
      <c r="K36" s="18">
        <v>0.00023</v>
      </c>
      <c r="L36" s="18">
        <f t="shared" si="3"/>
        <v>0.0013800000000000002</v>
      </c>
      <c r="M36" s="31" t="s">
        <v>200</v>
      </c>
      <c r="P36" s="36">
        <f t="shared" si="4"/>
        <v>0</v>
      </c>
      <c r="R36" s="36">
        <f t="shared" si="5"/>
        <v>0</v>
      </c>
      <c r="S36" s="36">
        <f t="shared" si="6"/>
        <v>0</v>
      </c>
      <c r="T36" s="36">
        <f t="shared" si="7"/>
        <v>0</v>
      </c>
      <c r="U36" s="36">
        <f t="shared" si="8"/>
        <v>0</v>
      </c>
      <c r="V36" s="36">
        <f t="shared" si="9"/>
        <v>0</v>
      </c>
      <c r="W36" s="36">
        <f t="shared" si="10"/>
        <v>0</v>
      </c>
      <c r="X36" s="36">
        <f t="shared" si="11"/>
        <v>0</v>
      </c>
      <c r="Y36" s="27" t="s">
        <v>57</v>
      </c>
      <c r="Z36" s="18">
        <f t="shared" si="12"/>
        <v>0</v>
      </c>
      <c r="AA36" s="18">
        <f t="shared" si="13"/>
        <v>0</v>
      </c>
      <c r="AB36" s="18">
        <f t="shared" si="14"/>
        <v>0</v>
      </c>
      <c r="AD36" s="36">
        <v>21</v>
      </c>
      <c r="AE36" s="36">
        <f>G36*0.707703159685484</f>
        <v>0</v>
      </c>
      <c r="AF36" s="36">
        <f>G36*(1-0.707703159685484)</f>
        <v>0</v>
      </c>
      <c r="AG36" s="31" t="s">
        <v>13</v>
      </c>
      <c r="AM36" s="36">
        <f t="shared" si="15"/>
        <v>0</v>
      </c>
      <c r="AN36" s="36">
        <f t="shared" si="16"/>
        <v>0</v>
      </c>
      <c r="AO36" s="37" t="s">
        <v>215</v>
      </c>
      <c r="AP36" s="37" t="s">
        <v>223</v>
      </c>
      <c r="AQ36" s="27" t="s">
        <v>231</v>
      </c>
      <c r="AS36" s="36">
        <f t="shared" si="17"/>
        <v>0</v>
      </c>
      <c r="AT36" s="36">
        <f t="shared" si="18"/>
        <v>0</v>
      </c>
      <c r="AU36" s="36">
        <v>0</v>
      </c>
      <c r="AV36" s="36">
        <f t="shared" si="19"/>
        <v>0.0013800000000000002</v>
      </c>
    </row>
    <row r="37" spans="1:37" ht="12.75">
      <c r="A37" s="4"/>
      <c r="B37" s="14" t="s">
        <v>57</v>
      </c>
      <c r="C37" s="14" t="s">
        <v>86</v>
      </c>
      <c r="D37" s="63" t="s">
        <v>139</v>
      </c>
      <c r="E37" s="64"/>
      <c r="F37" s="64"/>
      <c r="G37" s="64"/>
      <c r="H37" s="39">
        <f>SUM(H38:H40)</f>
        <v>0</v>
      </c>
      <c r="I37" s="39">
        <f>SUM(I38:I40)</f>
        <v>0</v>
      </c>
      <c r="J37" s="39">
        <f>H37+I37</f>
        <v>0</v>
      </c>
      <c r="K37" s="27"/>
      <c r="L37" s="39">
        <f>SUM(L38:L40)</f>
        <v>0</v>
      </c>
      <c r="M37" s="27"/>
      <c r="Y37" s="27" t="s">
        <v>57</v>
      </c>
      <c r="AI37" s="39">
        <f>SUM(Z38:Z40)</f>
        <v>0</v>
      </c>
      <c r="AJ37" s="39">
        <f>SUM(AA38:AA40)</f>
        <v>0</v>
      </c>
      <c r="AK37" s="39">
        <f>SUM(AB38:AB40)</f>
        <v>0</v>
      </c>
    </row>
    <row r="38" spans="1:48" ht="12.75">
      <c r="A38" s="5" t="s">
        <v>27</v>
      </c>
      <c r="B38" s="5" t="s">
        <v>57</v>
      </c>
      <c r="C38" s="5" t="s">
        <v>87</v>
      </c>
      <c r="D38" s="5" t="s">
        <v>140</v>
      </c>
      <c r="E38" s="5" t="s">
        <v>181</v>
      </c>
      <c r="F38" s="18">
        <v>2</v>
      </c>
      <c r="G38" s="18">
        <v>0</v>
      </c>
      <c r="H38" s="18">
        <f>F38*AE38</f>
        <v>0</v>
      </c>
      <c r="I38" s="18">
        <f>J38-H38</f>
        <v>0</v>
      </c>
      <c r="J38" s="18">
        <f>F38*G38</f>
        <v>0</v>
      </c>
      <c r="K38" s="18">
        <v>0</v>
      </c>
      <c r="L38" s="18">
        <f>F38*K38</f>
        <v>0</v>
      </c>
      <c r="M38" s="31" t="s">
        <v>201</v>
      </c>
      <c r="P38" s="36">
        <f>IF(AG38="5",J38,0)</f>
        <v>0</v>
      </c>
      <c r="R38" s="36">
        <f>IF(AG38="1",H38,0)</f>
        <v>0</v>
      </c>
      <c r="S38" s="36">
        <f>IF(AG38="1",I38,0)</f>
        <v>0</v>
      </c>
      <c r="T38" s="36">
        <f>IF(AG38="7",H38,0)</f>
        <v>0</v>
      </c>
      <c r="U38" s="36">
        <f>IF(AG38="7",I38,0)</f>
        <v>0</v>
      </c>
      <c r="V38" s="36">
        <f>IF(AG38="2",H38,0)</f>
        <v>0</v>
      </c>
      <c r="W38" s="36">
        <f>IF(AG38="2",I38,0)</f>
        <v>0</v>
      </c>
      <c r="X38" s="36">
        <f>IF(AG38="0",J38,0)</f>
        <v>0</v>
      </c>
      <c r="Y38" s="27" t="s">
        <v>57</v>
      </c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6">
        <v>21</v>
      </c>
      <c r="AE38" s="36">
        <f>G38*0</f>
        <v>0</v>
      </c>
      <c r="AF38" s="36">
        <f>G38*(1-0)</f>
        <v>0</v>
      </c>
      <c r="AG38" s="31" t="s">
        <v>7</v>
      </c>
      <c r="AM38" s="36">
        <f>F38*AE38</f>
        <v>0</v>
      </c>
      <c r="AN38" s="36">
        <f>F38*AF38</f>
        <v>0</v>
      </c>
      <c r="AO38" s="37" t="s">
        <v>216</v>
      </c>
      <c r="AP38" s="37" t="s">
        <v>224</v>
      </c>
      <c r="AQ38" s="27" t="s">
        <v>231</v>
      </c>
      <c r="AS38" s="36">
        <f>AM38+AN38</f>
        <v>0</v>
      </c>
      <c r="AT38" s="36">
        <f>G38/(100-AU38)*100</f>
        <v>0</v>
      </c>
      <c r="AU38" s="36">
        <v>0</v>
      </c>
      <c r="AV38" s="36">
        <f>L38</f>
        <v>0</v>
      </c>
    </row>
    <row r="39" spans="1:48" ht="12.75">
      <c r="A39" s="5" t="s">
        <v>28</v>
      </c>
      <c r="B39" s="5" t="s">
        <v>57</v>
      </c>
      <c r="C39" s="5" t="s">
        <v>87</v>
      </c>
      <c r="D39" s="5" t="s">
        <v>141</v>
      </c>
      <c r="E39" s="5" t="s">
        <v>181</v>
      </c>
      <c r="F39" s="18">
        <v>4</v>
      </c>
      <c r="G39" s="18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1" t="s">
        <v>201</v>
      </c>
      <c r="P39" s="36">
        <f>IF(AG39="5",J39,0)</f>
        <v>0</v>
      </c>
      <c r="R39" s="36">
        <f>IF(AG39="1",H39,0)</f>
        <v>0</v>
      </c>
      <c r="S39" s="36">
        <f>IF(AG39="1",I39,0)</f>
        <v>0</v>
      </c>
      <c r="T39" s="36">
        <f>IF(AG39="7",H39,0)</f>
        <v>0</v>
      </c>
      <c r="U39" s="36">
        <f>IF(AG39="7",I39,0)</f>
        <v>0</v>
      </c>
      <c r="V39" s="36">
        <f>IF(AG39="2",H39,0)</f>
        <v>0</v>
      </c>
      <c r="W39" s="36">
        <f>IF(AG39="2",I39,0)</f>
        <v>0</v>
      </c>
      <c r="X39" s="36">
        <f>IF(AG39="0",J39,0)</f>
        <v>0</v>
      </c>
      <c r="Y39" s="27" t="s">
        <v>57</v>
      </c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21</v>
      </c>
      <c r="AE39" s="36">
        <f>G39*0</f>
        <v>0</v>
      </c>
      <c r="AF39" s="36">
        <f>G39*(1-0)</f>
        <v>0</v>
      </c>
      <c r="AG39" s="31" t="s">
        <v>7</v>
      </c>
      <c r="AM39" s="36">
        <f>F39*AE39</f>
        <v>0</v>
      </c>
      <c r="AN39" s="36">
        <f>F39*AF39</f>
        <v>0</v>
      </c>
      <c r="AO39" s="37" t="s">
        <v>216</v>
      </c>
      <c r="AP39" s="37" t="s">
        <v>224</v>
      </c>
      <c r="AQ39" s="27" t="s">
        <v>231</v>
      </c>
      <c r="AS39" s="36">
        <f>AM39+AN39</f>
        <v>0</v>
      </c>
      <c r="AT39" s="36">
        <f>G39/(100-AU39)*100</f>
        <v>0</v>
      </c>
      <c r="AU39" s="36">
        <v>0</v>
      </c>
      <c r="AV39" s="36">
        <f>L39</f>
        <v>0</v>
      </c>
    </row>
    <row r="40" spans="1:48" ht="26.25">
      <c r="A40" s="5" t="s">
        <v>29</v>
      </c>
      <c r="B40" s="5" t="s">
        <v>57</v>
      </c>
      <c r="C40" s="5" t="s">
        <v>87</v>
      </c>
      <c r="D40" s="59" t="s">
        <v>142</v>
      </c>
      <c r="E40" s="5" t="s">
        <v>181</v>
      </c>
      <c r="F40" s="18">
        <v>4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</v>
      </c>
      <c r="L40" s="18">
        <f>F40*K40</f>
        <v>0</v>
      </c>
      <c r="M40" s="31" t="s">
        <v>201</v>
      </c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7" t="s">
        <v>57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G40" s="31" t="s">
        <v>7</v>
      </c>
      <c r="AM40" s="36">
        <f>F40*AE40</f>
        <v>0</v>
      </c>
      <c r="AN40" s="36">
        <f>F40*AF40</f>
        <v>0</v>
      </c>
      <c r="AO40" s="37" t="s">
        <v>216</v>
      </c>
      <c r="AP40" s="37" t="s">
        <v>224</v>
      </c>
      <c r="AQ40" s="27" t="s">
        <v>231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0</v>
      </c>
    </row>
    <row r="41" spans="1:37" ht="12.75">
      <c r="A41" s="4"/>
      <c r="B41" s="14" t="s">
        <v>57</v>
      </c>
      <c r="C41" s="14" t="s">
        <v>88</v>
      </c>
      <c r="D41" s="63" t="s">
        <v>127</v>
      </c>
      <c r="E41" s="64"/>
      <c r="F41" s="64"/>
      <c r="G41" s="64"/>
      <c r="H41" s="39">
        <f>SUM(H42:H42)</f>
        <v>0</v>
      </c>
      <c r="I41" s="39">
        <f>SUM(I42:I42)</f>
        <v>0</v>
      </c>
      <c r="J41" s="39">
        <f>H41+I41</f>
        <v>0</v>
      </c>
      <c r="K41" s="27"/>
      <c r="L41" s="39">
        <f>SUM(L42:L42)</f>
        <v>0</v>
      </c>
      <c r="M41" s="27"/>
      <c r="Y41" s="27" t="s">
        <v>57</v>
      </c>
      <c r="AI41" s="39">
        <f>SUM(Z42:Z42)</f>
        <v>0</v>
      </c>
      <c r="AJ41" s="39">
        <f>SUM(AA42:AA42)</f>
        <v>0</v>
      </c>
      <c r="AK41" s="39">
        <f>SUM(AB42:AB42)</f>
        <v>0</v>
      </c>
    </row>
    <row r="42" spans="1:48" ht="12.75">
      <c r="A42" s="5" t="s">
        <v>30</v>
      </c>
      <c r="B42" s="5" t="s">
        <v>57</v>
      </c>
      <c r="C42" s="5" t="s">
        <v>89</v>
      </c>
      <c r="D42" s="5" t="s">
        <v>143</v>
      </c>
      <c r="E42" s="5" t="s">
        <v>182</v>
      </c>
      <c r="F42" s="18">
        <v>0</v>
      </c>
      <c r="G42" s="18">
        <v>0.37</v>
      </c>
      <c r="H42" s="18">
        <f>F42*AE42</f>
        <v>0</v>
      </c>
      <c r="I42" s="18">
        <f>J42-H42</f>
        <v>0</v>
      </c>
      <c r="J42" s="18">
        <f>F42*G42</f>
        <v>0</v>
      </c>
      <c r="K42" s="18">
        <v>0</v>
      </c>
      <c r="L42" s="18">
        <f>F42*K42</f>
        <v>0</v>
      </c>
      <c r="M42" s="31" t="s">
        <v>200</v>
      </c>
      <c r="P42" s="36">
        <f>IF(AG42="5",J42,0)</f>
        <v>0</v>
      </c>
      <c r="R42" s="36">
        <f>IF(AG42="1",H42,0)</f>
        <v>0</v>
      </c>
      <c r="S42" s="36">
        <f>IF(AG42="1",I42,0)</f>
        <v>0</v>
      </c>
      <c r="T42" s="36">
        <f>IF(AG42="7",H42,0)</f>
        <v>0</v>
      </c>
      <c r="U42" s="36">
        <f>IF(AG42="7",I42,0)</f>
        <v>0</v>
      </c>
      <c r="V42" s="36">
        <f>IF(AG42="2",H42,0)</f>
        <v>0</v>
      </c>
      <c r="W42" s="36">
        <f>IF(AG42="2",I42,0)</f>
        <v>0</v>
      </c>
      <c r="X42" s="36">
        <f>IF(AG42="0",J42,0)</f>
        <v>0</v>
      </c>
      <c r="Y42" s="27" t="s">
        <v>57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</f>
        <v>0</v>
      </c>
      <c r="AF42" s="36">
        <f>G42*(1-0)</f>
        <v>0.37</v>
      </c>
      <c r="AG42" s="31" t="s">
        <v>11</v>
      </c>
      <c r="AM42" s="36">
        <f>F42*AE42</f>
        <v>0</v>
      </c>
      <c r="AN42" s="36">
        <f>F42*AF42</f>
        <v>0</v>
      </c>
      <c r="AO42" s="37" t="s">
        <v>217</v>
      </c>
      <c r="AP42" s="37" t="s">
        <v>224</v>
      </c>
      <c r="AQ42" s="27" t="s">
        <v>231</v>
      </c>
      <c r="AS42" s="36">
        <f>AM42+AN42</f>
        <v>0</v>
      </c>
      <c r="AT42" s="36">
        <f>G42/(100-AU42)*100</f>
        <v>0.37</v>
      </c>
      <c r="AU42" s="36">
        <v>0</v>
      </c>
      <c r="AV42" s="36">
        <f>L42</f>
        <v>0</v>
      </c>
    </row>
    <row r="43" spans="1:37" ht="12.75">
      <c r="A43" s="4"/>
      <c r="B43" s="14" t="s">
        <v>57</v>
      </c>
      <c r="C43" s="14"/>
      <c r="D43" s="63" t="s">
        <v>144</v>
      </c>
      <c r="E43" s="64"/>
      <c r="F43" s="64"/>
      <c r="G43" s="64"/>
      <c r="H43" s="39">
        <f>SUM(H44:H48)</f>
        <v>0</v>
      </c>
      <c r="I43" s="39">
        <f>SUM(I44:I48)</f>
        <v>0</v>
      </c>
      <c r="J43" s="39">
        <f>H43+I43</f>
        <v>0</v>
      </c>
      <c r="K43" s="27"/>
      <c r="L43" s="39">
        <f>SUM(L44:L48)</f>
        <v>0</v>
      </c>
      <c r="M43" s="27"/>
      <c r="Y43" s="27" t="s">
        <v>57</v>
      </c>
      <c r="AI43" s="39">
        <f>SUM(Z44:Z48)</f>
        <v>0</v>
      </c>
      <c r="AJ43" s="39">
        <f>SUM(AA44:AA48)</f>
        <v>0</v>
      </c>
      <c r="AK43" s="39">
        <f>SUM(AB44:AB48)</f>
        <v>0</v>
      </c>
    </row>
    <row r="44" spans="1:48" ht="12.75">
      <c r="A44" s="6" t="s">
        <v>31</v>
      </c>
      <c r="B44" s="6" t="s">
        <v>57</v>
      </c>
      <c r="C44" s="6" t="s">
        <v>90</v>
      </c>
      <c r="D44" s="6" t="s">
        <v>145</v>
      </c>
      <c r="E44" s="6" t="s">
        <v>183</v>
      </c>
      <c r="F44" s="19">
        <v>2</v>
      </c>
      <c r="G44" s="18">
        <v>0</v>
      </c>
      <c r="H44" s="19">
        <f>F44*AE44</f>
        <v>0</v>
      </c>
      <c r="I44" s="19">
        <f>J44-H44</f>
        <v>0</v>
      </c>
      <c r="J44" s="19">
        <f>F44*G44</f>
        <v>0</v>
      </c>
      <c r="K44" s="19">
        <v>0</v>
      </c>
      <c r="L44" s="19">
        <f>F44*K44</f>
        <v>0</v>
      </c>
      <c r="M44" s="32"/>
      <c r="P44" s="36">
        <f>IF(AG44="5",J44,0)</f>
        <v>0</v>
      </c>
      <c r="R44" s="36">
        <f>IF(AG44="1",H44,0)</f>
        <v>0</v>
      </c>
      <c r="S44" s="36">
        <f>IF(AG44="1",I44,0)</f>
        <v>0</v>
      </c>
      <c r="T44" s="36">
        <f>IF(AG44="7",H44,0)</f>
        <v>0</v>
      </c>
      <c r="U44" s="36">
        <f>IF(AG44="7",I44,0)</f>
        <v>0</v>
      </c>
      <c r="V44" s="36">
        <f>IF(AG44="2",H44,0)</f>
        <v>0</v>
      </c>
      <c r="W44" s="36">
        <f>IF(AG44="2",I44,0)</f>
        <v>0</v>
      </c>
      <c r="X44" s="36">
        <f>IF(AG44="0",J44,0)</f>
        <v>0</v>
      </c>
      <c r="Y44" s="27" t="s">
        <v>57</v>
      </c>
      <c r="Z44" s="19">
        <f>IF(AD44=0,J44,0)</f>
        <v>0</v>
      </c>
      <c r="AA44" s="19">
        <f>IF(AD44=15,J44,0)</f>
        <v>0</v>
      </c>
      <c r="AB44" s="19">
        <f>IF(AD44=21,J44,0)</f>
        <v>0</v>
      </c>
      <c r="AD44" s="36">
        <v>21</v>
      </c>
      <c r="AE44" s="36">
        <f>G44*1</f>
        <v>0</v>
      </c>
      <c r="AF44" s="36">
        <f>G44*(1-1)</f>
        <v>0</v>
      </c>
      <c r="AG44" s="32" t="s">
        <v>211</v>
      </c>
      <c r="AM44" s="36">
        <f>F44*AE44</f>
        <v>0</v>
      </c>
      <c r="AN44" s="36">
        <f>F44*AF44</f>
        <v>0</v>
      </c>
      <c r="AO44" s="37" t="s">
        <v>218</v>
      </c>
      <c r="AP44" s="37" t="s">
        <v>225</v>
      </c>
      <c r="AQ44" s="27" t="s">
        <v>231</v>
      </c>
      <c r="AS44" s="36">
        <f>AM44+AN44</f>
        <v>0</v>
      </c>
      <c r="AT44" s="36">
        <f>G44/(100-AU44)*100</f>
        <v>0</v>
      </c>
      <c r="AU44" s="36">
        <v>0</v>
      </c>
      <c r="AV44" s="36">
        <f>L44</f>
        <v>0</v>
      </c>
    </row>
    <row r="45" spans="1:48" ht="12.75">
      <c r="A45" s="6" t="s">
        <v>32</v>
      </c>
      <c r="B45" s="6" t="s">
        <v>57</v>
      </c>
      <c r="C45" s="6" t="s">
        <v>90</v>
      </c>
      <c r="D45" s="6" t="s">
        <v>146</v>
      </c>
      <c r="E45" s="6" t="s">
        <v>183</v>
      </c>
      <c r="F45" s="19">
        <v>1</v>
      </c>
      <c r="G45" s="18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</v>
      </c>
      <c r="L45" s="19">
        <f>F45*K45</f>
        <v>0</v>
      </c>
      <c r="M45" s="32"/>
      <c r="P45" s="36">
        <f>IF(AG45="5",J45,0)</f>
        <v>0</v>
      </c>
      <c r="R45" s="36">
        <f>IF(AG45="1",H45,0)</f>
        <v>0</v>
      </c>
      <c r="S45" s="36">
        <f>IF(AG45="1",I45,0)</f>
        <v>0</v>
      </c>
      <c r="T45" s="36">
        <f>IF(AG45="7",H45,0)</f>
        <v>0</v>
      </c>
      <c r="U45" s="36">
        <f>IF(AG45="7",I45,0)</f>
        <v>0</v>
      </c>
      <c r="V45" s="36">
        <f>IF(AG45="2",H45,0)</f>
        <v>0</v>
      </c>
      <c r="W45" s="36">
        <f>IF(AG45="2",I45,0)</f>
        <v>0</v>
      </c>
      <c r="X45" s="36">
        <f>IF(AG45="0",J45,0)</f>
        <v>0</v>
      </c>
      <c r="Y45" s="27" t="s">
        <v>57</v>
      </c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6">
        <v>21</v>
      </c>
      <c r="AE45" s="36">
        <f>G45*1</f>
        <v>0</v>
      </c>
      <c r="AF45" s="36">
        <f>G45*(1-1)</f>
        <v>0</v>
      </c>
      <c r="AG45" s="32" t="s">
        <v>211</v>
      </c>
      <c r="AM45" s="36">
        <f>F45*AE45</f>
        <v>0</v>
      </c>
      <c r="AN45" s="36">
        <f>F45*AF45</f>
        <v>0</v>
      </c>
      <c r="AO45" s="37" t="s">
        <v>218</v>
      </c>
      <c r="AP45" s="37" t="s">
        <v>225</v>
      </c>
      <c r="AQ45" s="27" t="s">
        <v>231</v>
      </c>
      <c r="AS45" s="36">
        <f>AM45+AN45</f>
        <v>0</v>
      </c>
      <c r="AT45" s="36">
        <f>G45/(100-AU45)*100</f>
        <v>0</v>
      </c>
      <c r="AU45" s="36">
        <v>0</v>
      </c>
      <c r="AV45" s="36">
        <f>L45</f>
        <v>0</v>
      </c>
    </row>
    <row r="46" spans="1:48" ht="12.75">
      <c r="A46" s="6" t="s">
        <v>33</v>
      </c>
      <c r="B46" s="6" t="s">
        <v>57</v>
      </c>
      <c r="C46" s="6" t="s">
        <v>91</v>
      </c>
      <c r="D46" s="6" t="s">
        <v>147</v>
      </c>
      <c r="E46" s="6" t="s">
        <v>184</v>
      </c>
      <c r="F46" s="19">
        <v>1</v>
      </c>
      <c r="G46" s="18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</v>
      </c>
      <c r="L46" s="19">
        <f>F46*K46</f>
        <v>0</v>
      </c>
      <c r="M46" s="32"/>
      <c r="P46" s="36">
        <f>IF(AG46="5",J46,0)</f>
        <v>0</v>
      </c>
      <c r="R46" s="36">
        <f>IF(AG46="1",H46,0)</f>
        <v>0</v>
      </c>
      <c r="S46" s="36">
        <f>IF(AG46="1",I46,0)</f>
        <v>0</v>
      </c>
      <c r="T46" s="36">
        <f>IF(AG46="7",H46,0)</f>
        <v>0</v>
      </c>
      <c r="U46" s="36">
        <f>IF(AG46="7",I46,0)</f>
        <v>0</v>
      </c>
      <c r="V46" s="36">
        <f>IF(AG46="2",H46,0)</f>
        <v>0</v>
      </c>
      <c r="W46" s="36">
        <f>IF(AG46="2",I46,0)</f>
        <v>0</v>
      </c>
      <c r="X46" s="36">
        <f>IF(AG46="0",J46,0)</f>
        <v>0</v>
      </c>
      <c r="Y46" s="27" t="s">
        <v>57</v>
      </c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6">
        <v>21</v>
      </c>
      <c r="AE46" s="36">
        <f>G46*1</f>
        <v>0</v>
      </c>
      <c r="AF46" s="36">
        <f>G46*(1-1)</f>
        <v>0</v>
      </c>
      <c r="AG46" s="32" t="s">
        <v>211</v>
      </c>
      <c r="AM46" s="36">
        <f>F46*AE46</f>
        <v>0</v>
      </c>
      <c r="AN46" s="36">
        <f>F46*AF46</f>
        <v>0</v>
      </c>
      <c r="AO46" s="37" t="s">
        <v>218</v>
      </c>
      <c r="AP46" s="37" t="s">
        <v>225</v>
      </c>
      <c r="AQ46" s="27" t="s">
        <v>231</v>
      </c>
      <c r="AS46" s="36">
        <f>AM46+AN46</f>
        <v>0</v>
      </c>
      <c r="AT46" s="36">
        <f>G46/(100-AU46)*100</f>
        <v>0</v>
      </c>
      <c r="AU46" s="36">
        <v>0</v>
      </c>
      <c r="AV46" s="36">
        <f>L46</f>
        <v>0</v>
      </c>
    </row>
    <row r="47" spans="1:48" ht="12.75">
      <c r="A47" s="6" t="s">
        <v>34</v>
      </c>
      <c r="B47" s="6" t="s">
        <v>57</v>
      </c>
      <c r="C47" s="6" t="s">
        <v>92</v>
      </c>
      <c r="D47" s="6" t="s">
        <v>148</v>
      </c>
      <c r="E47" s="6" t="s">
        <v>184</v>
      </c>
      <c r="F47" s="19">
        <v>2</v>
      </c>
      <c r="G47" s="18">
        <v>0</v>
      </c>
      <c r="H47" s="19">
        <f>F47*AE47</f>
        <v>0</v>
      </c>
      <c r="I47" s="19">
        <f>J47-H47</f>
        <v>0</v>
      </c>
      <c r="J47" s="19">
        <f>F47*G47</f>
        <v>0</v>
      </c>
      <c r="K47" s="19">
        <v>0</v>
      </c>
      <c r="L47" s="19">
        <f>F47*K47</f>
        <v>0</v>
      </c>
      <c r="M47" s="32"/>
      <c r="P47" s="36">
        <f>IF(AG47="5",J47,0)</f>
        <v>0</v>
      </c>
      <c r="R47" s="36">
        <f>IF(AG47="1",H47,0)</f>
        <v>0</v>
      </c>
      <c r="S47" s="36">
        <f>IF(AG47="1",I47,0)</f>
        <v>0</v>
      </c>
      <c r="T47" s="36">
        <f>IF(AG47="7",H47,0)</f>
        <v>0</v>
      </c>
      <c r="U47" s="36">
        <f>IF(AG47="7",I47,0)</f>
        <v>0</v>
      </c>
      <c r="V47" s="36">
        <f>IF(AG47="2",H47,0)</f>
        <v>0</v>
      </c>
      <c r="W47" s="36">
        <f>IF(AG47="2",I47,0)</f>
        <v>0</v>
      </c>
      <c r="X47" s="36">
        <f>IF(AG47="0",J47,0)</f>
        <v>0</v>
      </c>
      <c r="Y47" s="27" t="s">
        <v>57</v>
      </c>
      <c r="Z47" s="19">
        <f>IF(AD47=0,J47,0)</f>
        <v>0</v>
      </c>
      <c r="AA47" s="19">
        <f>IF(AD47=15,J47,0)</f>
        <v>0</v>
      </c>
      <c r="AB47" s="19">
        <f>IF(AD47=21,J47,0)</f>
        <v>0</v>
      </c>
      <c r="AD47" s="36">
        <v>21</v>
      </c>
      <c r="AE47" s="36">
        <f>G47*1</f>
        <v>0</v>
      </c>
      <c r="AF47" s="36">
        <f>G47*(1-1)</f>
        <v>0</v>
      </c>
      <c r="AG47" s="32" t="s">
        <v>211</v>
      </c>
      <c r="AM47" s="36">
        <f>F47*AE47</f>
        <v>0</v>
      </c>
      <c r="AN47" s="36">
        <f>F47*AF47</f>
        <v>0</v>
      </c>
      <c r="AO47" s="37" t="s">
        <v>218</v>
      </c>
      <c r="AP47" s="37" t="s">
        <v>225</v>
      </c>
      <c r="AQ47" s="27" t="s">
        <v>231</v>
      </c>
      <c r="AS47" s="36">
        <f>AM47+AN47</f>
        <v>0</v>
      </c>
      <c r="AT47" s="36">
        <f>G47/(100-AU47)*100</f>
        <v>0</v>
      </c>
      <c r="AU47" s="36">
        <v>0</v>
      </c>
      <c r="AV47" s="36">
        <f>L47</f>
        <v>0</v>
      </c>
    </row>
    <row r="48" spans="1:48" ht="12.75">
      <c r="A48" s="6" t="s">
        <v>35</v>
      </c>
      <c r="B48" s="6" t="s">
        <v>57</v>
      </c>
      <c r="C48" s="6" t="s">
        <v>93</v>
      </c>
      <c r="D48" s="6" t="s">
        <v>149</v>
      </c>
      <c r="E48" s="6" t="s">
        <v>179</v>
      </c>
      <c r="F48" s="19">
        <v>1</v>
      </c>
      <c r="G48" s="18">
        <v>0</v>
      </c>
      <c r="H48" s="19">
        <f>F48*AE48</f>
        <v>0</v>
      </c>
      <c r="I48" s="19">
        <f>J48-H48</f>
        <v>0</v>
      </c>
      <c r="J48" s="19">
        <f>F48*G48</f>
        <v>0</v>
      </c>
      <c r="K48" s="19">
        <v>0</v>
      </c>
      <c r="L48" s="19">
        <f>F48*K48</f>
        <v>0</v>
      </c>
      <c r="M48" s="32"/>
      <c r="P48" s="36">
        <f>IF(AG48="5",J48,0)</f>
        <v>0</v>
      </c>
      <c r="R48" s="36">
        <f>IF(AG48="1",H48,0)</f>
        <v>0</v>
      </c>
      <c r="S48" s="36">
        <f>IF(AG48="1",I48,0)</f>
        <v>0</v>
      </c>
      <c r="T48" s="36">
        <f>IF(AG48="7",H48,0)</f>
        <v>0</v>
      </c>
      <c r="U48" s="36">
        <f>IF(AG48="7",I48,0)</f>
        <v>0</v>
      </c>
      <c r="V48" s="36">
        <f>IF(AG48="2",H48,0)</f>
        <v>0</v>
      </c>
      <c r="W48" s="36">
        <f>IF(AG48="2",I48,0)</f>
        <v>0</v>
      </c>
      <c r="X48" s="36">
        <f>IF(AG48="0",J48,0)</f>
        <v>0</v>
      </c>
      <c r="Y48" s="27" t="s">
        <v>57</v>
      </c>
      <c r="Z48" s="19">
        <f>IF(AD48=0,J48,0)</f>
        <v>0</v>
      </c>
      <c r="AA48" s="19">
        <f>IF(AD48=15,J48,0)</f>
        <v>0</v>
      </c>
      <c r="AB48" s="19">
        <f>IF(AD48=21,J48,0)</f>
        <v>0</v>
      </c>
      <c r="AD48" s="36">
        <v>21</v>
      </c>
      <c r="AE48" s="36">
        <f>G48*1</f>
        <v>0</v>
      </c>
      <c r="AF48" s="36">
        <f>G48*(1-1)</f>
        <v>0</v>
      </c>
      <c r="AG48" s="32" t="s">
        <v>211</v>
      </c>
      <c r="AM48" s="36">
        <f>F48*AE48</f>
        <v>0</v>
      </c>
      <c r="AN48" s="36">
        <f>F48*AF48</f>
        <v>0</v>
      </c>
      <c r="AO48" s="37" t="s">
        <v>218</v>
      </c>
      <c r="AP48" s="37" t="s">
        <v>225</v>
      </c>
      <c r="AQ48" s="27" t="s">
        <v>231</v>
      </c>
      <c r="AS48" s="36">
        <f>AM48+AN48</f>
        <v>0</v>
      </c>
      <c r="AT48" s="36">
        <f>G48/(100-AU48)*100</f>
        <v>0</v>
      </c>
      <c r="AU48" s="36">
        <v>0</v>
      </c>
      <c r="AV48" s="36">
        <f>L48</f>
        <v>0</v>
      </c>
    </row>
    <row r="49" spans="1:13" ht="12.75">
      <c r="A49" s="7"/>
      <c r="B49" s="15" t="s">
        <v>58</v>
      </c>
      <c r="C49" s="15"/>
      <c r="D49" s="61" t="s">
        <v>150</v>
      </c>
      <c r="E49" s="62"/>
      <c r="F49" s="62"/>
      <c r="G49" s="62"/>
      <c r="H49" s="40">
        <f>H50+H58+H60+H63+H65</f>
        <v>0</v>
      </c>
      <c r="I49" s="40">
        <f>I50+I58+I60+I63+I65</f>
        <v>0</v>
      </c>
      <c r="J49" s="40">
        <f>H49+I49</f>
        <v>0</v>
      </c>
      <c r="K49" s="28"/>
      <c r="L49" s="40">
        <f>L50+L58+L60+L63+L65</f>
        <v>0.046759999999999996</v>
      </c>
      <c r="M49" s="28"/>
    </row>
    <row r="50" spans="1:37" ht="12.75">
      <c r="A50" s="4"/>
      <c r="B50" s="14" t="s">
        <v>58</v>
      </c>
      <c r="C50" s="14" t="s">
        <v>74</v>
      </c>
      <c r="D50" s="63" t="s">
        <v>127</v>
      </c>
      <c r="E50" s="64"/>
      <c r="F50" s="64"/>
      <c r="G50" s="64"/>
      <c r="H50" s="39">
        <f>SUM(H51:H57)</f>
        <v>0</v>
      </c>
      <c r="I50" s="39">
        <f>SUM(I51:I57)</f>
        <v>0</v>
      </c>
      <c r="J50" s="39">
        <f>H50+I50</f>
        <v>0</v>
      </c>
      <c r="K50" s="27"/>
      <c r="L50" s="39">
        <f>SUM(L51:L57)</f>
        <v>0.038959999999999995</v>
      </c>
      <c r="M50" s="27"/>
      <c r="Y50" s="27" t="s">
        <v>58</v>
      </c>
      <c r="AI50" s="39">
        <f>SUM(Z51:Z57)</f>
        <v>0</v>
      </c>
      <c r="AJ50" s="39">
        <f>SUM(AA51:AA57)</f>
        <v>0</v>
      </c>
      <c r="AK50" s="39">
        <f>SUM(AB51:AB57)</f>
        <v>0</v>
      </c>
    </row>
    <row r="51" spans="1:48" ht="12.75">
      <c r="A51" s="5" t="s">
        <v>36</v>
      </c>
      <c r="B51" s="5" t="s">
        <v>58</v>
      </c>
      <c r="C51" s="5" t="s">
        <v>94</v>
      </c>
      <c r="D51" s="5" t="s">
        <v>151</v>
      </c>
      <c r="E51" s="5" t="s">
        <v>179</v>
      </c>
      <c r="F51" s="18">
        <v>1</v>
      </c>
      <c r="G51" s="18">
        <v>0</v>
      </c>
      <c r="H51" s="18">
        <f aca="true" t="shared" si="20" ref="H51:H57">F51*AE51</f>
        <v>0</v>
      </c>
      <c r="I51" s="18">
        <f aca="true" t="shared" si="21" ref="I51:I57">J51-H51</f>
        <v>0</v>
      </c>
      <c r="J51" s="18">
        <f aca="true" t="shared" si="22" ref="J51:J57">F51*G51</f>
        <v>0</v>
      </c>
      <c r="K51" s="18">
        <v>0.00054</v>
      </c>
      <c r="L51" s="18">
        <f aca="true" t="shared" si="23" ref="L51:L57">F51*K51</f>
        <v>0.00054</v>
      </c>
      <c r="M51" s="31" t="s">
        <v>201</v>
      </c>
      <c r="P51" s="36">
        <f aca="true" t="shared" si="24" ref="P51:P57">IF(AG51="5",J51,0)</f>
        <v>0</v>
      </c>
      <c r="R51" s="36">
        <f aca="true" t="shared" si="25" ref="R51:R57">IF(AG51="1",H51,0)</f>
        <v>0</v>
      </c>
      <c r="S51" s="36">
        <f aca="true" t="shared" si="26" ref="S51:S57">IF(AG51="1",I51,0)</f>
        <v>0</v>
      </c>
      <c r="T51" s="36">
        <f aca="true" t="shared" si="27" ref="T51:T57">IF(AG51="7",H51,0)</f>
        <v>0</v>
      </c>
      <c r="U51" s="36">
        <f aca="true" t="shared" si="28" ref="U51:U57">IF(AG51="7",I51,0)</f>
        <v>0</v>
      </c>
      <c r="V51" s="36">
        <f aca="true" t="shared" si="29" ref="V51:V57">IF(AG51="2",H51,0)</f>
        <v>0</v>
      </c>
      <c r="W51" s="36">
        <f aca="true" t="shared" si="30" ref="W51:W57">IF(AG51="2",I51,0)</f>
        <v>0</v>
      </c>
      <c r="X51" s="36">
        <f aca="true" t="shared" si="31" ref="X51:X57">IF(AG51="0",J51,0)</f>
        <v>0</v>
      </c>
      <c r="Y51" s="27" t="s">
        <v>58</v>
      </c>
      <c r="Z51" s="18">
        <f aca="true" t="shared" si="32" ref="Z51:Z57">IF(AD51=0,J51,0)</f>
        <v>0</v>
      </c>
      <c r="AA51" s="18">
        <f aca="true" t="shared" si="33" ref="AA51:AA57">IF(AD51=15,J51,0)</f>
        <v>0</v>
      </c>
      <c r="AB51" s="18">
        <f aca="true" t="shared" si="34" ref="AB51:AB57">IF(AD51=21,J51,0)</f>
        <v>0</v>
      </c>
      <c r="AD51" s="36">
        <v>21</v>
      </c>
      <c r="AE51" s="36">
        <f>G51*0.257342657342657</f>
        <v>0</v>
      </c>
      <c r="AF51" s="36">
        <f>G51*(1-0.257342657342657)</f>
        <v>0</v>
      </c>
      <c r="AG51" s="31" t="s">
        <v>13</v>
      </c>
      <c r="AM51" s="36">
        <f aca="true" t="shared" si="35" ref="AM51:AM57">F51*AE51</f>
        <v>0</v>
      </c>
      <c r="AN51" s="36">
        <f aca="true" t="shared" si="36" ref="AN51:AN57">F51*AF51</f>
        <v>0</v>
      </c>
      <c r="AO51" s="37" t="s">
        <v>215</v>
      </c>
      <c r="AP51" s="37" t="s">
        <v>226</v>
      </c>
      <c r="AQ51" s="27" t="s">
        <v>232</v>
      </c>
      <c r="AS51" s="36">
        <f aca="true" t="shared" si="37" ref="AS51:AS57">AM51+AN51</f>
        <v>0</v>
      </c>
      <c r="AT51" s="36">
        <f aca="true" t="shared" si="38" ref="AT51:AT57">G51/(100-AU51)*100</f>
        <v>0</v>
      </c>
      <c r="AU51" s="36">
        <v>0</v>
      </c>
      <c r="AV51" s="36">
        <f aca="true" t="shared" si="39" ref="AV51:AV57">L51</f>
        <v>0.00054</v>
      </c>
    </row>
    <row r="52" spans="1:48" ht="12.75">
      <c r="A52" s="5" t="s">
        <v>37</v>
      </c>
      <c r="B52" s="5" t="s">
        <v>58</v>
      </c>
      <c r="C52" s="5" t="s">
        <v>95</v>
      </c>
      <c r="D52" s="5" t="s">
        <v>152</v>
      </c>
      <c r="E52" s="5" t="s">
        <v>179</v>
      </c>
      <c r="F52" s="18">
        <v>16</v>
      </c>
      <c r="G52" s="18">
        <v>0</v>
      </c>
      <c r="H52" s="18">
        <f t="shared" si="20"/>
        <v>0</v>
      </c>
      <c r="I52" s="18">
        <f t="shared" si="21"/>
        <v>0</v>
      </c>
      <c r="J52" s="18">
        <f t="shared" si="22"/>
        <v>0</v>
      </c>
      <c r="K52" s="18">
        <v>0.00123</v>
      </c>
      <c r="L52" s="18">
        <f t="shared" si="23"/>
        <v>0.01968</v>
      </c>
      <c r="M52" s="31" t="s">
        <v>200</v>
      </c>
      <c r="P52" s="36">
        <f t="shared" si="24"/>
        <v>0</v>
      </c>
      <c r="R52" s="36">
        <f t="shared" si="25"/>
        <v>0</v>
      </c>
      <c r="S52" s="36">
        <f t="shared" si="26"/>
        <v>0</v>
      </c>
      <c r="T52" s="36">
        <f t="shared" si="27"/>
        <v>0</v>
      </c>
      <c r="U52" s="36">
        <f t="shared" si="28"/>
        <v>0</v>
      </c>
      <c r="V52" s="36">
        <f t="shared" si="29"/>
        <v>0</v>
      </c>
      <c r="W52" s="36">
        <f t="shared" si="30"/>
        <v>0</v>
      </c>
      <c r="X52" s="36">
        <f t="shared" si="31"/>
        <v>0</v>
      </c>
      <c r="Y52" s="27" t="s">
        <v>58</v>
      </c>
      <c r="Z52" s="18">
        <f t="shared" si="32"/>
        <v>0</v>
      </c>
      <c r="AA52" s="18">
        <f t="shared" si="33"/>
        <v>0</v>
      </c>
      <c r="AB52" s="18">
        <f t="shared" si="34"/>
        <v>0</v>
      </c>
      <c r="AD52" s="36">
        <v>21</v>
      </c>
      <c r="AE52" s="36">
        <f>G52*0.255767897811665</f>
        <v>0</v>
      </c>
      <c r="AF52" s="36">
        <f>G52*(1-0.255767897811665)</f>
        <v>0</v>
      </c>
      <c r="AG52" s="31" t="s">
        <v>13</v>
      </c>
      <c r="AM52" s="36">
        <f t="shared" si="35"/>
        <v>0</v>
      </c>
      <c r="AN52" s="36">
        <f t="shared" si="36"/>
        <v>0</v>
      </c>
      <c r="AO52" s="37" t="s">
        <v>215</v>
      </c>
      <c r="AP52" s="37" t="s">
        <v>226</v>
      </c>
      <c r="AQ52" s="27" t="s">
        <v>232</v>
      </c>
      <c r="AS52" s="36">
        <f t="shared" si="37"/>
        <v>0</v>
      </c>
      <c r="AT52" s="36">
        <f t="shared" si="38"/>
        <v>0</v>
      </c>
      <c r="AU52" s="36">
        <v>0</v>
      </c>
      <c r="AV52" s="36">
        <f t="shared" si="39"/>
        <v>0.01968</v>
      </c>
    </row>
    <row r="53" spans="1:48" ht="12.75">
      <c r="A53" s="5" t="s">
        <v>38</v>
      </c>
      <c r="B53" s="5" t="s">
        <v>58</v>
      </c>
      <c r="C53" s="5" t="s">
        <v>96</v>
      </c>
      <c r="D53" s="5" t="s">
        <v>153</v>
      </c>
      <c r="E53" s="5" t="s">
        <v>179</v>
      </c>
      <c r="F53" s="18">
        <v>39</v>
      </c>
      <c r="G53" s="18">
        <v>0</v>
      </c>
      <c r="H53" s="18">
        <f t="shared" si="20"/>
        <v>0</v>
      </c>
      <c r="I53" s="18">
        <f t="shared" si="21"/>
        <v>0</v>
      </c>
      <c r="J53" s="18">
        <f t="shared" si="22"/>
        <v>0</v>
      </c>
      <c r="K53" s="18">
        <v>0</v>
      </c>
      <c r="L53" s="18">
        <f t="shared" si="23"/>
        <v>0</v>
      </c>
      <c r="M53" s="31" t="s">
        <v>200</v>
      </c>
      <c r="P53" s="36">
        <f t="shared" si="24"/>
        <v>0</v>
      </c>
      <c r="R53" s="36">
        <f t="shared" si="25"/>
        <v>0</v>
      </c>
      <c r="S53" s="36">
        <f t="shared" si="26"/>
        <v>0</v>
      </c>
      <c r="T53" s="36">
        <f t="shared" si="27"/>
        <v>0</v>
      </c>
      <c r="U53" s="36">
        <f t="shared" si="28"/>
        <v>0</v>
      </c>
      <c r="V53" s="36">
        <f t="shared" si="29"/>
        <v>0</v>
      </c>
      <c r="W53" s="36">
        <f t="shared" si="30"/>
        <v>0</v>
      </c>
      <c r="X53" s="36">
        <f t="shared" si="31"/>
        <v>0</v>
      </c>
      <c r="Y53" s="27" t="s">
        <v>58</v>
      </c>
      <c r="Z53" s="18">
        <f t="shared" si="32"/>
        <v>0</v>
      </c>
      <c r="AA53" s="18">
        <f t="shared" si="33"/>
        <v>0</v>
      </c>
      <c r="AB53" s="18">
        <f t="shared" si="34"/>
        <v>0</v>
      </c>
      <c r="AD53" s="36">
        <v>21</v>
      </c>
      <c r="AE53" s="36">
        <f>G53*0.128136882129278</f>
        <v>0</v>
      </c>
      <c r="AF53" s="36">
        <f>G53*(1-0.128136882129278)</f>
        <v>0</v>
      </c>
      <c r="AG53" s="31" t="s">
        <v>13</v>
      </c>
      <c r="AM53" s="36">
        <f t="shared" si="35"/>
        <v>0</v>
      </c>
      <c r="AN53" s="36">
        <f t="shared" si="36"/>
        <v>0</v>
      </c>
      <c r="AO53" s="37" t="s">
        <v>215</v>
      </c>
      <c r="AP53" s="37" t="s">
        <v>226</v>
      </c>
      <c r="AQ53" s="27" t="s">
        <v>232</v>
      </c>
      <c r="AS53" s="36">
        <f t="shared" si="37"/>
        <v>0</v>
      </c>
      <c r="AT53" s="36">
        <f t="shared" si="38"/>
        <v>0</v>
      </c>
      <c r="AU53" s="36">
        <v>0</v>
      </c>
      <c r="AV53" s="36">
        <f t="shared" si="39"/>
        <v>0</v>
      </c>
    </row>
    <row r="54" spans="1:48" ht="12.75">
      <c r="A54" s="5" t="s">
        <v>39</v>
      </c>
      <c r="B54" s="5" t="s">
        <v>58</v>
      </c>
      <c r="C54" s="5" t="s">
        <v>97</v>
      </c>
      <c r="D54" s="5" t="s">
        <v>154</v>
      </c>
      <c r="E54" s="5" t="s">
        <v>179</v>
      </c>
      <c r="F54" s="18">
        <v>55</v>
      </c>
      <c r="G54" s="18">
        <v>0</v>
      </c>
      <c r="H54" s="18">
        <f t="shared" si="20"/>
        <v>0</v>
      </c>
      <c r="I54" s="18">
        <f t="shared" si="21"/>
        <v>0</v>
      </c>
      <c r="J54" s="18">
        <f t="shared" si="22"/>
        <v>0</v>
      </c>
      <c r="K54" s="18">
        <v>0.00026</v>
      </c>
      <c r="L54" s="18">
        <f t="shared" si="23"/>
        <v>0.014299999999999998</v>
      </c>
      <c r="M54" s="31" t="s">
        <v>201</v>
      </c>
      <c r="P54" s="36">
        <f t="shared" si="24"/>
        <v>0</v>
      </c>
      <c r="R54" s="36">
        <f t="shared" si="25"/>
        <v>0</v>
      </c>
      <c r="S54" s="36">
        <f t="shared" si="26"/>
        <v>0</v>
      </c>
      <c r="T54" s="36">
        <f t="shared" si="27"/>
        <v>0</v>
      </c>
      <c r="U54" s="36">
        <f t="shared" si="28"/>
        <v>0</v>
      </c>
      <c r="V54" s="36">
        <f t="shared" si="29"/>
        <v>0</v>
      </c>
      <c r="W54" s="36">
        <f t="shared" si="30"/>
        <v>0</v>
      </c>
      <c r="X54" s="36">
        <f t="shared" si="31"/>
        <v>0</v>
      </c>
      <c r="Y54" s="27" t="s">
        <v>58</v>
      </c>
      <c r="Z54" s="18">
        <f t="shared" si="32"/>
        <v>0</v>
      </c>
      <c r="AA54" s="18">
        <f t="shared" si="33"/>
        <v>0</v>
      </c>
      <c r="AB54" s="18">
        <f t="shared" si="34"/>
        <v>0</v>
      </c>
      <c r="AD54" s="36">
        <v>21</v>
      </c>
      <c r="AE54" s="36">
        <f>G54*0.943569096844396</f>
        <v>0</v>
      </c>
      <c r="AF54" s="36">
        <f>G54*(1-0.943569096844396)</f>
        <v>0</v>
      </c>
      <c r="AG54" s="31" t="s">
        <v>13</v>
      </c>
      <c r="AM54" s="36">
        <f t="shared" si="35"/>
        <v>0</v>
      </c>
      <c r="AN54" s="36">
        <f t="shared" si="36"/>
        <v>0</v>
      </c>
      <c r="AO54" s="37" t="s">
        <v>215</v>
      </c>
      <c r="AP54" s="37" t="s">
        <v>226</v>
      </c>
      <c r="AQ54" s="27" t="s">
        <v>232</v>
      </c>
      <c r="AS54" s="36">
        <f t="shared" si="37"/>
        <v>0</v>
      </c>
      <c r="AT54" s="36">
        <f t="shared" si="38"/>
        <v>0</v>
      </c>
      <c r="AU54" s="36">
        <v>0</v>
      </c>
      <c r="AV54" s="36">
        <f t="shared" si="39"/>
        <v>0.014299999999999998</v>
      </c>
    </row>
    <row r="55" spans="1:48" ht="12.75">
      <c r="A55" s="5" t="s">
        <v>40</v>
      </c>
      <c r="B55" s="5" t="s">
        <v>58</v>
      </c>
      <c r="C55" s="5" t="s">
        <v>98</v>
      </c>
      <c r="D55" s="5" t="s">
        <v>155</v>
      </c>
      <c r="E55" s="5" t="s">
        <v>179</v>
      </c>
      <c r="F55" s="18">
        <v>1</v>
      </c>
      <c r="G55" s="18">
        <v>0</v>
      </c>
      <c r="H55" s="18">
        <f t="shared" si="20"/>
        <v>0</v>
      </c>
      <c r="I55" s="18">
        <f t="shared" si="21"/>
        <v>0</v>
      </c>
      <c r="J55" s="18">
        <f t="shared" si="22"/>
        <v>0</v>
      </c>
      <c r="K55" s="18">
        <v>0.0002</v>
      </c>
      <c r="L55" s="18">
        <f t="shared" si="23"/>
        <v>0.0002</v>
      </c>
      <c r="M55" s="31" t="s">
        <v>200</v>
      </c>
      <c r="P55" s="36">
        <f t="shared" si="24"/>
        <v>0</v>
      </c>
      <c r="R55" s="36">
        <f t="shared" si="25"/>
        <v>0</v>
      </c>
      <c r="S55" s="36">
        <f t="shared" si="26"/>
        <v>0</v>
      </c>
      <c r="T55" s="36">
        <f t="shared" si="27"/>
        <v>0</v>
      </c>
      <c r="U55" s="36">
        <f t="shared" si="28"/>
        <v>0</v>
      </c>
      <c r="V55" s="36">
        <f t="shared" si="29"/>
        <v>0</v>
      </c>
      <c r="W55" s="36">
        <f t="shared" si="30"/>
        <v>0</v>
      </c>
      <c r="X55" s="36">
        <f t="shared" si="31"/>
        <v>0</v>
      </c>
      <c r="Y55" s="27" t="s">
        <v>58</v>
      </c>
      <c r="Z55" s="18">
        <f t="shared" si="32"/>
        <v>0</v>
      </c>
      <c r="AA55" s="18">
        <f t="shared" si="33"/>
        <v>0</v>
      </c>
      <c r="AB55" s="18">
        <f t="shared" si="34"/>
        <v>0</v>
      </c>
      <c r="AD55" s="36">
        <v>21</v>
      </c>
      <c r="AE55" s="36">
        <f>G55*0.866732579455808</f>
        <v>0</v>
      </c>
      <c r="AF55" s="36">
        <f>G55*(1-0.866732579455808)</f>
        <v>0</v>
      </c>
      <c r="AG55" s="31" t="s">
        <v>13</v>
      </c>
      <c r="AM55" s="36">
        <f t="shared" si="35"/>
        <v>0</v>
      </c>
      <c r="AN55" s="36">
        <f t="shared" si="36"/>
        <v>0</v>
      </c>
      <c r="AO55" s="37" t="s">
        <v>215</v>
      </c>
      <c r="AP55" s="37" t="s">
        <v>226</v>
      </c>
      <c r="AQ55" s="27" t="s">
        <v>232</v>
      </c>
      <c r="AS55" s="36">
        <f t="shared" si="37"/>
        <v>0</v>
      </c>
      <c r="AT55" s="36">
        <f t="shared" si="38"/>
        <v>0</v>
      </c>
      <c r="AU55" s="36">
        <v>0</v>
      </c>
      <c r="AV55" s="36">
        <f t="shared" si="39"/>
        <v>0.0002</v>
      </c>
    </row>
    <row r="56" spans="1:48" ht="12.75">
      <c r="A56" s="5" t="s">
        <v>41</v>
      </c>
      <c r="B56" s="5" t="s">
        <v>58</v>
      </c>
      <c r="C56" s="5" t="s">
        <v>99</v>
      </c>
      <c r="D56" s="5" t="s">
        <v>156</v>
      </c>
      <c r="E56" s="5" t="s">
        <v>179</v>
      </c>
      <c r="F56" s="18">
        <v>16</v>
      </c>
      <c r="G56" s="18">
        <v>0</v>
      </c>
      <c r="H56" s="18">
        <f t="shared" si="20"/>
        <v>0</v>
      </c>
      <c r="I56" s="18">
        <f t="shared" si="21"/>
        <v>0</v>
      </c>
      <c r="J56" s="18">
        <f t="shared" si="22"/>
        <v>0</v>
      </c>
      <c r="K56" s="18">
        <v>0.0002</v>
      </c>
      <c r="L56" s="18">
        <f t="shared" si="23"/>
        <v>0.0032</v>
      </c>
      <c r="M56" s="31" t="s">
        <v>200</v>
      </c>
      <c r="P56" s="36">
        <f t="shared" si="24"/>
        <v>0</v>
      </c>
      <c r="R56" s="36">
        <f t="shared" si="25"/>
        <v>0</v>
      </c>
      <c r="S56" s="36">
        <f t="shared" si="26"/>
        <v>0</v>
      </c>
      <c r="T56" s="36">
        <f t="shared" si="27"/>
        <v>0</v>
      </c>
      <c r="U56" s="36">
        <f t="shared" si="28"/>
        <v>0</v>
      </c>
      <c r="V56" s="36">
        <f t="shared" si="29"/>
        <v>0</v>
      </c>
      <c r="W56" s="36">
        <f t="shared" si="30"/>
        <v>0</v>
      </c>
      <c r="X56" s="36">
        <f t="shared" si="31"/>
        <v>0</v>
      </c>
      <c r="Y56" s="27" t="s">
        <v>58</v>
      </c>
      <c r="Z56" s="18">
        <f t="shared" si="32"/>
        <v>0</v>
      </c>
      <c r="AA56" s="18">
        <f t="shared" si="33"/>
        <v>0</v>
      </c>
      <c r="AB56" s="18">
        <f t="shared" si="34"/>
        <v>0</v>
      </c>
      <c r="AD56" s="36">
        <v>21</v>
      </c>
      <c r="AE56" s="36">
        <f>G56*0.883216374269006</f>
        <v>0</v>
      </c>
      <c r="AF56" s="36">
        <f>G56*(1-0.883216374269006)</f>
        <v>0</v>
      </c>
      <c r="AG56" s="31" t="s">
        <v>13</v>
      </c>
      <c r="AM56" s="36">
        <f t="shared" si="35"/>
        <v>0</v>
      </c>
      <c r="AN56" s="36">
        <f t="shared" si="36"/>
        <v>0</v>
      </c>
      <c r="AO56" s="37" t="s">
        <v>215</v>
      </c>
      <c r="AP56" s="37" t="s">
        <v>226</v>
      </c>
      <c r="AQ56" s="27" t="s">
        <v>232</v>
      </c>
      <c r="AS56" s="36">
        <f t="shared" si="37"/>
        <v>0</v>
      </c>
      <c r="AT56" s="36">
        <f t="shared" si="38"/>
        <v>0</v>
      </c>
      <c r="AU56" s="36">
        <v>0</v>
      </c>
      <c r="AV56" s="36">
        <f t="shared" si="39"/>
        <v>0.0032</v>
      </c>
    </row>
    <row r="57" spans="1:48" ht="12.75">
      <c r="A57" s="5" t="s">
        <v>42</v>
      </c>
      <c r="B57" s="5" t="s">
        <v>58</v>
      </c>
      <c r="C57" s="5" t="s">
        <v>100</v>
      </c>
      <c r="D57" s="5" t="s">
        <v>157</v>
      </c>
      <c r="E57" s="5" t="s">
        <v>179</v>
      </c>
      <c r="F57" s="18">
        <v>4</v>
      </c>
      <c r="G57" s="18">
        <v>0</v>
      </c>
      <c r="H57" s="18">
        <f t="shared" si="20"/>
        <v>0</v>
      </c>
      <c r="I57" s="18">
        <f t="shared" si="21"/>
        <v>0</v>
      </c>
      <c r="J57" s="18">
        <f t="shared" si="22"/>
        <v>0</v>
      </c>
      <c r="K57" s="18">
        <v>0.00026</v>
      </c>
      <c r="L57" s="18">
        <f t="shared" si="23"/>
        <v>0.00104</v>
      </c>
      <c r="M57" s="31" t="s">
        <v>201</v>
      </c>
      <c r="P57" s="36">
        <f t="shared" si="24"/>
        <v>0</v>
      </c>
      <c r="R57" s="36">
        <f t="shared" si="25"/>
        <v>0</v>
      </c>
      <c r="S57" s="36">
        <f t="shared" si="26"/>
        <v>0</v>
      </c>
      <c r="T57" s="36">
        <f t="shared" si="27"/>
        <v>0</v>
      </c>
      <c r="U57" s="36">
        <f t="shared" si="28"/>
        <v>0</v>
      </c>
      <c r="V57" s="36">
        <f t="shared" si="29"/>
        <v>0</v>
      </c>
      <c r="W57" s="36">
        <f t="shared" si="30"/>
        <v>0</v>
      </c>
      <c r="X57" s="36">
        <f t="shared" si="31"/>
        <v>0</v>
      </c>
      <c r="Y57" s="27" t="s">
        <v>58</v>
      </c>
      <c r="Z57" s="18">
        <f t="shared" si="32"/>
        <v>0</v>
      </c>
      <c r="AA57" s="18">
        <f t="shared" si="33"/>
        <v>0</v>
      </c>
      <c r="AB57" s="18">
        <f t="shared" si="34"/>
        <v>0</v>
      </c>
      <c r="AD57" s="36">
        <v>21</v>
      </c>
      <c r="AE57" s="36">
        <f>G57*0.273933587934494</f>
        <v>0</v>
      </c>
      <c r="AF57" s="36">
        <f>G57*(1-0.273933587934494)</f>
        <v>0</v>
      </c>
      <c r="AG57" s="31" t="s">
        <v>13</v>
      </c>
      <c r="AM57" s="36">
        <f t="shared" si="35"/>
        <v>0</v>
      </c>
      <c r="AN57" s="36">
        <f t="shared" si="36"/>
        <v>0</v>
      </c>
      <c r="AO57" s="37" t="s">
        <v>215</v>
      </c>
      <c r="AP57" s="37" t="s">
        <v>226</v>
      </c>
      <c r="AQ57" s="27" t="s">
        <v>232</v>
      </c>
      <c r="AS57" s="36">
        <f t="shared" si="37"/>
        <v>0</v>
      </c>
      <c r="AT57" s="36">
        <f t="shared" si="38"/>
        <v>0</v>
      </c>
      <c r="AU57" s="36">
        <v>0</v>
      </c>
      <c r="AV57" s="36">
        <f t="shared" si="39"/>
        <v>0.00104</v>
      </c>
    </row>
    <row r="58" spans="1:37" ht="12.75">
      <c r="A58" s="4"/>
      <c r="B58" s="14" t="s">
        <v>58</v>
      </c>
      <c r="C58" s="14" t="s">
        <v>101</v>
      </c>
      <c r="D58" s="63" t="s">
        <v>158</v>
      </c>
      <c r="E58" s="64"/>
      <c r="F58" s="64"/>
      <c r="G58" s="64"/>
      <c r="H58" s="39">
        <f>SUM(H59:H59)</f>
        <v>0</v>
      </c>
      <c r="I58" s="39">
        <f>SUM(I59:I59)</f>
        <v>0</v>
      </c>
      <c r="J58" s="39">
        <f>H58+I58</f>
        <v>0</v>
      </c>
      <c r="K58" s="27"/>
      <c r="L58" s="39">
        <f>SUM(L59:L59)</f>
        <v>0</v>
      </c>
      <c r="M58" s="27"/>
      <c r="Y58" s="27" t="s">
        <v>58</v>
      </c>
      <c r="AI58" s="39">
        <f>SUM(Z59:Z59)</f>
        <v>0</v>
      </c>
      <c r="AJ58" s="39">
        <f>SUM(AA59:AA59)</f>
        <v>0</v>
      </c>
      <c r="AK58" s="39">
        <f>SUM(AB59:AB59)</f>
        <v>0</v>
      </c>
    </row>
    <row r="59" spans="1:48" ht="12.75">
      <c r="A59" s="5" t="s">
        <v>43</v>
      </c>
      <c r="B59" s="5" t="s">
        <v>58</v>
      </c>
      <c r="C59" s="5" t="s">
        <v>102</v>
      </c>
      <c r="D59" s="5" t="s">
        <v>159</v>
      </c>
      <c r="E59" s="5" t="s">
        <v>179</v>
      </c>
      <c r="F59" s="18">
        <v>118</v>
      </c>
      <c r="G59" s="18">
        <v>0</v>
      </c>
      <c r="H59" s="18">
        <f>F59*AE59</f>
        <v>0</v>
      </c>
      <c r="I59" s="18">
        <f>J59-H59</f>
        <v>0</v>
      </c>
      <c r="J59" s="18">
        <f>F59*G59</f>
        <v>0</v>
      </c>
      <c r="K59" s="18">
        <v>0</v>
      </c>
      <c r="L59" s="18">
        <f>F59*K59</f>
        <v>0</v>
      </c>
      <c r="M59" s="31" t="s">
        <v>200</v>
      </c>
      <c r="P59" s="36">
        <f>IF(AG59="5",J59,0)</f>
        <v>0</v>
      </c>
      <c r="R59" s="36">
        <f>IF(AG59="1",H59,0)</f>
        <v>0</v>
      </c>
      <c r="S59" s="36">
        <f>IF(AG59="1",I59,0)</f>
        <v>0</v>
      </c>
      <c r="T59" s="36">
        <f>IF(AG59="7",H59,0)</f>
        <v>0</v>
      </c>
      <c r="U59" s="36">
        <f>IF(AG59="7",I59,0)</f>
        <v>0</v>
      </c>
      <c r="V59" s="36">
        <f>IF(AG59="2",H59,0)</f>
        <v>0</v>
      </c>
      <c r="W59" s="36">
        <f>IF(AG59="2",I59,0)</f>
        <v>0</v>
      </c>
      <c r="X59" s="36">
        <f>IF(AG59="0",J59,0)</f>
        <v>0</v>
      </c>
      <c r="Y59" s="27" t="s">
        <v>58</v>
      </c>
      <c r="Z59" s="18">
        <f>IF(AD59=0,J59,0)</f>
        <v>0</v>
      </c>
      <c r="AA59" s="18">
        <f>IF(AD59=15,J59,0)</f>
        <v>0</v>
      </c>
      <c r="AB59" s="18">
        <f>IF(AD59=21,J59,0)</f>
        <v>0</v>
      </c>
      <c r="AD59" s="36">
        <v>21</v>
      </c>
      <c r="AE59" s="36">
        <f>G59*0</f>
        <v>0</v>
      </c>
      <c r="AF59" s="36">
        <f>G59*(1-0)</f>
        <v>0</v>
      </c>
      <c r="AG59" s="31" t="s">
        <v>13</v>
      </c>
      <c r="AM59" s="36">
        <f>F59*AE59</f>
        <v>0</v>
      </c>
      <c r="AN59" s="36">
        <f>F59*AF59</f>
        <v>0</v>
      </c>
      <c r="AO59" s="37" t="s">
        <v>219</v>
      </c>
      <c r="AP59" s="37" t="s">
        <v>226</v>
      </c>
      <c r="AQ59" s="27" t="s">
        <v>232</v>
      </c>
      <c r="AS59" s="36">
        <f>AM59+AN59</f>
        <v>0</v>
      </c>
      <c r="AT59" s="36">
        <f>G59/(100-AU59)*100</f>
        <v>0</v>
      </c>
      <c r="AU59" s="36">
        <v>0</v>
      </c>
      <c r="AV59" s="36">
        <f>L59</f>
        <v>0</v>
      </c>
    </row>
    <row r="60" spans="1:37" ht="12.75">
      <c r="A60" s="4"/>
      <c r="B60" s="14" t="s">
        <v>58</v>
      </c>
      <c r="C60" s="14" t="s">
        <v>86</v>
      </c>
      <c r="D60" s="63" t="s">
        <v>139</v>
      </c>
      <c r="E60" s="64"/>
      <c r="F60" s="64"/>
      <c r="G60" s="64"/>
      <c r="H60" s="39">
        <f>SUM(H61:H62)</f>
        <v>0</v>
      </c>
      <c r="I60" s="39">
        <f>SUM(I61:I62)</f>
        <v>0</v>
      </c>
      <c r="J60" s="39">
        <f>H60+I60</f>
        <v>0</v>
      </c>
      <c r="K60" s="27"/>
      <c r="L60" s="39">
        <f>SUM(L61:L62)</f>
        <v>0</v>
      </c>
      <c r="M60" s="27"/>
      <c r="Y60" s="27" t="s">
        <v>58</v>
      </c>
      <c r="AI60" s="39">
        <f>SUM(Z61:Z62)</f>
        <v>0</v>
      </c>
      <c r="AJ60" s="39">
        <f>SUM(AA61:AA62)</f>
        <v>0</v>
      </c>
      <c r="AK60" s="39">
        <f>SUM(AB61:AB62)</f>
        <v>0</v>
      </c>
    </row>
    <row r="61" spans="1:48" ht="12.75">
      <c r="A61" s="5" t="s">
        <v>44</v>
      </c>
      <c r="B61" s="5" t="s">
        <v>58</v>
      </c>
      <c r="C61" s="5" t="s">
        <v>87</v>
      </c>
      <c r="D61" s="5" t="s">
        <v>160</v>
      </c>
      <c r="E61" s="5" t="s">
        <v>181</v>
      </c>
      <c r="F61" s="18">
        <v>18</v>
      </c>
      <c r="G61" s="18">
        <v>0</v>
      </c>
      <c r="H61" s="18">
        <f>F61*AE61</f>
        <v>0</v>
      </c>
      <c r="I61" s="18">
        <f>J61-H61</f>
        <v>0</v>
      </c>
      <c r="J61" s="18">
        <f>F61*G61</f>
        <v>0</v>
      </c>
      <c r="K61" s="18">
        <v>0</v>
      </c>
      <c r="L61" s="18">
        <f>F61*K61</f>
        <v>0</v>
      </c>
      <c r="M61" s="31" t="s">
        <v>201</v>
      </c>
      <c r="P61" s="36">
        <f>IF(AG61="5",J61,0)</f>
        <v>0</v>
      </c>
      <c r="R61" s="36">
        <f>IF(AG61="1",H61,0)</f>
        <v>0</v>
      </c>
      <c r="S61" s="36">
        <f>IF(AG61="1",I61,0)</f>
        <v>0</v>
      </c>
      <c r="T61" s="36">
        <f>IF(AG61="7",H61,0)</f>
        <v>0</v>
      </c>
      <c r="U61" s="36">
        <f>IF(AG61="7",I61,0)</f>
        <v>0</v>
      </c>
      <c r="V61" s="36">
        <f>IF(AG61="2",H61,0)</f>
        <v>0</v>
      </c>
      <c r="W61" s="36">
        <f>IF(AG61="2",I61,0)</f>
        <v>0</v>
      </c>
      <c r="X61" s="36">
        <f>IF(AG61="0",J61,0)</f>
        <v>0</v>
      </c>
      <c r="Y61" s="27" t="s">
        <v>58</v>
      </c>
      <c r="Z61" s="18">
        <f>IF(AD61=0,J61,0)</f>
        <v>0</v>
      </c>
      <c r="AA61" s="18">
        <f>IF(AD61=15,J61,0)</f>
        <v>0</v>
      </c>
      <c r="AB61" s="18">
        <f>IF(AD61=21,J61,0)</f>
        <v>0</v>
      </c>
      <c r="AD61" s="36">
        <v>21</v>
      </c>
      <c r="AE61" s="36">
        <f>G61*0</f>
        <v>0</v>
      </c>
      <c r="AF61" s="36">
        <f>G61*(1-0)</f>
        <v>0</v>
      </c>
      <c r="AG61" s="31" t="s">
        <v>7</v>
      </c>
      <c r="AM61" s="36">
        <f>F61*AE61</f>
        <v>0</v>
      </c>
      <c r="AN61" s="36">
        <f>F61*AF61</f>
        <v>0</v>
      </c>
      <c r="AO61" s="37" t="s">
        <v>216</v>
      </c>
      <c r="AP61" s="37" t="s">
        <v>227</v>
      </c>
      <c r="AQ61" s="27" t="s">
        <v>232</v>
      </c>
      <c r="AS61" s="36">
        <f>AM61+AN61</f>
        <v>0</v>
      </c>
      <c r="AT61" s="36">
        <f>G61/(100-AU61)*100</f>
        <v>0</v>
      </c>
      <c r="AU61" s="36">
        <v>0</v>
      </c>
      <c r="AV61" s="36">
        <f>L61</f>
        <v>0</v>
      </c>
    </row>
    <row r="62" spans="1:48" ht="12.75">
      <c r="A62" s="5" t="s">
        <v>45</v>
      </c>
      <c r="B62" s="5" t="s">
        <v>58</v>
      </c>
      <c r="C62" s="5" t="s">
        <v>87</v>
      </c>
      <c r="D62" s="5" t="s">
        <v>161</v>
      </c>
      <c r="E62" s="5" t="s">
        <v>181</v>
      </c>
      <c r="F62" s="18">
        <v>4</v>
      </c>
      <c r="G62" s="18">
        <v>0</v>
      </c>
      <c r="H62" s="18">
        <f>F62*AE62</f>
        <v>0</v>
      </c>
      <c r="I62" s="18">
        <f>J62-H62</f>
        <v>0</v>
      </c>
      <c r="J62" s="18">
        <f>F62*G62</f>
        <v>0</v>
      </c>
      <c r="K62" s="18">
        <v>0</v>
      </c>
      <c r="L62" s="18">
        <f>F62*K62</f>
        <v>0</v>
      </c>
      <c r="M62" s="31" t="s">
        <v>201</v>
      </c>
      <c r="P62" s="36">
        <f>IF(AG62="5",J62,0)</f>
        <v>0</v>
      </c>
      <c r="R62" s="36">
        <f>IF(AG62="1",H62,0)</f>
        <v>0</v>
      </c>
      <c r="S62" s="36">
        <f>IF(AG62="1",I62,0)</f>
        <v>0</v>
      </c>
      <c r="T62" s="36">
        <f>IF(AG62="7",H62,0)</f>
        <v>0</v>
      </c>
      <c r="U62" s="36">
        <f>IF(AG62="7",I62,0)</f>
        <v>0</v>
      </c>
      <c r="V62" s="36">
        <f>IF(AG62="2",H62,0)</f>
        <v>0</v>
      </c>
      <c r="W62" s="36">
        <f>IF(AG62="2",I62,0)</f>
        <v>0</v>
      </c>
      <c r="X62" s="36">
        <f>IF(AG62="0",J62,0)</f>
        <v>0</v>
      </c>
      <c r="Y62" s="27" t="s">
        <v>58</v>
      </c>
      <c r="Z62" s="18">
        <f>IF(AD62=0,J62,0)</f>
        <v>0</v>
      </c>
      <c r="AA62" s="18">
        <f>IF(AD62=15,J62,0)</f>
        <v>0</v>
      </c>
      <c r="AB62" s="18">
        <f>IF(AD62=21,J62,0)</f>
        <v>0</v>
      </c>
      <c r="AD62" s="36">
        <v>21</v>
      </c>
      <c r="AE62" s="36">
        <f>G62*0</f>
        <v>0</v>
      </c>
      <c r="AF62" s="36">
        <f>G62*(1-0)</f>
        <v>0</v>
      </c>
      <c r="AG62" s="31" t="s">
        <v>7</v>
      </c>
      <c r="AM62" s="36">
        <f>F62*AE62</f>
        <v>0</v>
      </c>
      <c r="AN62" s="36">
        <f>F62*AF62</f>
        <v>0</v>
      </c>
      <c r="AO62" s="37" t="s">
        <v>216</v>
      </c>
      <c r="AP62" s="37" t="s">
        <v>227</v>
      </c>
      <c r="AQ62" s="27" t="s">
        <v>232</v>
      </c>
      <c r="AS62" s="36">
        <f>AM62+AN62</f>
        <v>0</v>
      </c>
      <c r="AT62" s="36">
        <f>G62/(100-AU62)*100</f>
        <v>0</v>
      </c>
      <c r="AU62" s="36">
        <v>0</v>
      </c>
      <c r="AV62" s="36">
        <f>L62</f>
        <v>0</v>
      </c>
    </row>
    <row r="63" spans="1:37" ht="12.75">
      <c r="A63" s="4"/>
      <c r="B63" s="14" t="s">
        <v>58</v>
      </c>
      <c r="C63" s="14" t="s">
        <v>103</v>
      </c>
      <c r="D63" s="63" t="s">
        <v>158</v>
      </c>
      <c r="E63" s="64"/>
      <c r="F63" s="64"/>
      <c r="G63" s="64"/>
      <c r="H63" s="39">
        <f>SUM(H64:H64)</f>
        <v>0</v>
      </c>
      <c r="I63" s="39">
        <f>SUM(I64:I64)</f>
        <v>0</v>
      </c>
      <c r="J63" s="39">
        <f>H63+I63</f>
        <v>0</v>
      </c>
      <c r="K63" s="27"/>
      <c r="L63" s="39">
        <f>SUM(L64:L64)</f>
        <v>0</v>
      </c>
      <c r="M63" s="27"/>
      <c r="Y63" s="27" t="s">
        <v>58</v>
      </c>
      <c r="AI63" s="39">
        <f>SUM(Z64:Z64)</f>
        <v>0</v>
      </c>
      <c r="AJ63" s="39">
        <f>SUM(AA64:AA64)</f>
        <v>0</v>
      </c>
      <c r="AK63" s="39">
        <f>SUM(AB64:AB64)</f>
        <v>0</v>
      </c>
    </row>
    <row r="64" spans="1:48" ht="12.75">
      <c r="A64" s="5" t="s">
        <v>46</v>
      </c>
      <c r="B64" s="5" t="s">
        <v>58</v>
      </c>
      <c r="C64" s="5" t="s">
        <v>104</v>
      </c>
      <c r="D64" s="5" t="s">
        <v>162</v>
      </c>
      <c r="E64" s="5" t="s">
        <v>182</v>
      </c>
      <c r="F64" s="18">
        <v>0</v>
      </c>
      <c r="G64" s="18">
        <v>2.8</v>
      </c>
      <c r="H64" s="18">
        <f>F64*AE64</f>
        <v>0</v>
      </c>
      <c r="I64" s="18">
        <f>J64-H64</f>
        <v>0</v>
      </c>
      <c r="J64" s="18">
        <f>F64*G64</f>
        <v>0</v>
      </c>
      <c r="K64" s="18">
        <v>0</v>
      </c>
      <c r="L64" s="18">
        <f>F64*K64</f>
        <v>0</v>
      </c>
      <c r="M64" s="31" t="s">
        <v>201</v>
      </c>
      <c r="P64" s="36">
        <f>IF(AG64="5",J64,0)</f>
        <v>0</v>
      </c>
      <c r="R64" s="36">
        <f>IF(AG64="1",H64,0)</f>
        <v>0</v>
      </c>
      <c r="S64" s="36">
        <f>IF(AG64="1",I64,0)</f>
        <v>0</v>
      </c>
      <c r="T64" s="36">
        <f>IF(AG64="7",H64,0)</f>
        <v>0</v>
      </c>
      <c r="U64" s="36">
        <f>IF(AG64="7",I64,0)</f>
        <v>0</v>
      </c>
      <c r="V64" s="36">
        <f>IF(AG64="2",H64,0)</f>
        <v>0</v>
      </c>
      <c r="W64" s="36">
        <f>IF(AG64="2",I64,0)</f>
        <v>0</v>
      </c>
      <c r="X64" s="36">
        <f>IF(AG64="0",J64,0)</f>
        <v>0</v>
      </c>
      <c r="Y64" s="27" t="s">
        <v>58</v>
      </c>
      <c r="Z64" s="18">
        <f>IF(AD64=0,J64,0)</f>
        <v>0</v>
      </c>
      <c r="AA64" s="18">
        <f>IF(AD64=15,J64,0)</f>
        <v>0</v>
      </c>
      <c r="AB64" s="18">
        <f>IF(AD64=21,J64,0)</f>
        <v>0</v>
      </c>
      <c r="AD64" s="36">
        <v>21</v>
      </c>
      <c r="AE64" s="36">
        <f>G64*0</f>
        <v>0</v>
      </c>
      <c r="AF64" s="36">
        <f>G64*(1-0)</f>
        <v>2.8</v>
      </c>
      <c r="AG64" s="31" t="s">
        <v>11</v>
      </c>
      <c r="AM64" s="36">
        <f>F64*AE64</f>
        <v>0</v>
      </c>
      <c r="AN64" s="36">
        <f>F64*AF64</f>
        <v>0</v>
      </c>
      <c r="AO64" s="37" t="s">
        <v>220</v>
      </c>
      <c r="AP64" s="37" t="s">
        <v>227</v>
      </c>
      <c r="AQ64" s="27" t="s">
        <v>232</v>
      </c>
      <c r="AS64" s="36">
        <f>AM64+AN64</f>
        <v>0</v>
      </c>
      <c r="AT64" s="36">
        <f>G64/(100-AU64)*100</f>
        <v>2.8</v>
      </c>
      <c r="AU64" s="36">
        <v>0</v>
      </c>
      <c r="AV64" s="36">
        <f>L64</f>
        <v>0</v>
      </c>
    </row>
    <row r="65" spans="1:37" ht="12.75">
      <c r="A65" s="4"/>
      <c r="B65" s="14" t="s">
        <v>58</v>
      </c>
      <c r="C65" s="14"/>
      <c r="D65" s="63" t="s">
        <v>144</v>
      </c>
      <c r="E65" s="64"/>
      <c r="F65" s="64"/>
      <c r="G65" s="64"/>
      <c r="H65" s="39">
        <f>SUM(H66:H68)</f>
        <v>0</v>
      </c>
      <c r="I65" s="39">
        <f>SUM(I66:I68)</f>
        <v>0</v>
      </c>
      <c r="J65" s="39">
        <f>H65+I65</f>
        <v>0</v>
      </c>
      <c r="K65" s="27"/>
      <c r="L65" s="39">
        <f>SUM(L66:L68)</f>
        <v>0.0078000000000000005</v>
      </c>
      <c r="M65" s="27"/>
      <c r="Y65" s="27" t="s">
        <v>58</v>
      </c>
      <c r="AI65" s="39">
        <f>SUM(Z66:Z68)</f>
        <v>0</v>
      </c>
      <c r="AJ65" s="39">
        <f>SUM(AA66:AA68)</f>
        <v>0</v>
      </c>
      <c r="AK65" s="39">
        <f>SUM(AB66:AB68)</f>
        <v>0</v>
      </c>
    </row>
    <row r="66" spans="1:48" ht="26.25">
      <c r="A66" s="6" t="s">
        <v>47</v>
      </c>
      <c r="B66" s="6" t="s">
        <v>58</v>
      </c>
      <c r="C66" s="6" t="s">
        <v>105</v>
      </c>
      <c r="D66" s="60" t="s">
        <v>163</v>
      </c>
      <c r="E66" s="6" t="s">
        <v>179</v>
      </c>
      <c r="F66" s="19">
        <v>39</v>
      </c>
      <c r="G66" s="18">
        <v>0</v>
      </c>
      <c r="H66" s="19">
        <f>F66*AE66</f>
        <v>0</v>
      </c>
      <c r="I66" s="19">
        <f>J66-H66</f>
        <v>0</v>
      </c>
      <c r="J66" s="19">
        <f>F66*G66</f>
        <v>0</v>
      </c>
      <c r="K66" s="19">
        <v>0.0002</v>
      </c>
      <c r="L66" s="19">
        <f>F66*K66</f>
        <v>0.0078000000000000005</v>
      </c>
      <c r="M66" s="32" t="s">
        <v>200</v>
      </c>
      <c r="P66" s="36">
        <f>IF(AG66="5",J66,0)</f>
        <v>0</v>
      </c>
      <c r="R66" s="36">
        <f>IF(AG66="1",H66,0)</f>
        <v>0</v>
      </c>
      <c r="S66" s="36">
        <f>IF(AG66="1",I66,0)</f>
        <v>0</v>
      </c>
      <c r="T66" s="36">
        <f>IF(AG66="7",H66,0)</f>
        <v>0</v>
      </c>
      <c r="U66" s="36">
        <f>IF(AG66="7",I66,0)</f>
        <v>0</v>
      </c>
      <c r="V66" s="36">
        <f>IF(AG66="2",H66,0)</f>
        <v>0</v>
      </c>
      <c r="W66" s="36">
        <f>IF(AG66="2",I66,0)</f>
        <v>0</v>
      </c>
      <c r="X66" s="36">
        <f>IF(AG66="0",J66,0)</f>
        <v>0</v>
      </c>
      <c r="Y66" s="27" t="s">
        <v>58</v>
      </c>
      <c r="Z66" s="19">
        <f>IF(AD66=0,J66,0)</f>
        <v>0</v>
      </c>
      <c r="AA66" s="19">
        <f>IF(AD66=15,J66,0)</f>
        <v>0</v>
      </c>
      <c r="AB66" s="19">
        <f>IF(AD66=21,J66,0)</f>
        <v>0</v>
      </c>
      <c r="AD66" s="36">
        <v>21</v>
      </c>
      <c r="AE66" s="36">
        <f>G66*1</f>
        <v>0</v>
      </c>
      <c r="AF66" s="36">
        <f>G66*(1-1)</f>
        <v>0</v>
      </c>
      <c r="AG66" s="32" t="s">
        <v>211</v>
      </c>
      <c r="AM66" s="36">
        <f>F66*AE66</f>
        <v>0</v>
      </c>
      <c r="AN66" s="36">
        <f>F66*AF66</f>
        <v>0</v>
      </c>
      <c r="AO66" s="37" t="s">
        <v>218</v>
      </c>
      <c r="AP66" s="37" t="s">
        <v>228</v>
      </c>
      <c r="AQ66" s="27" t="s">
        <v>232</v>
      </c>
      <c r="AS66" s="36">
        <f>AM66+AN66</f>
        <v>0</v>
      </c>
      <c r="AT66" s="36">
        <f>G66/(100-AU66)*100</f>
        <v>0</v>
      </c>
      <c r="AU66" s="36">
        <v>0</v>
      </c>
      <c r="AV66" s="36">
        <f>L66</f>
        <v>0.0078000000000000005</v>
      </c>
    </row>
    <row r="67" spans="1:48" ht="26.25">
      <c r="A67" s="6" t="s">
        <v>48</v>
      </c>
      <c r="B67" s="6" t="s">
        <v>58</v>
      </c>
      <c r="C67" s="6" t="s">
        <v>93</v>
      </c>
      <c r="D67" s="60" t="s">
        <v>164</v>
      </c>
      <c r="E67" s="6" t="s">
        <v>179</v>
      </c>
      <c r="F67" s="19">
        <v>1</v>
      </c>
      <c r="G67" s="18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</v>
      </c>
      <c r="L67" s="19">
        <f>F67*K67</f>
        <v>0</v>
      </c>
      <c r="M67" s="32"/>
      <c r="P67" s="36">
        <f>IF(AG67="5",J67,0)</f>
        <v>0</v>
      </c>
      <c r="R67" s="36">
        <f>IF(AG67="1",H67,0)</f>
        <v>0</v>
      </c>
      <c r="S67" s="36">
        <f>IF(AG67="1",I67,0)</f>
        <v>0</v>
      </c>
      <c r="T67" s="36">
        <f>IF(AG67="7",H67,0)</f>
        <v>0</v>
      </c>
      <c r="U67" s="36">
        <f>IF(AG67="7",I67,0)</f>
        <v>0</v>
      </c>
      <c r="V67" s="36">
        <f>IF(AG67="2",H67,0)</f>
        <v>0</v>
      </c>
      <c r="W67" s="36">
        <f>IF(AG67="2",I67,0)</f>
        <v>0</v>
      </c>
      <c r="X67" s="36">
        <f>IF(AG67="0",J67,0)</f>
        <v>0</v>
      </c>
      <c r="Y67" s="27" t="s">
        <v>58</v>
      </c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6">
        <v>21</v>
      </c>
      <c r="AE67" s="36">
        <f>G67*1</f>
        <v>0</v>
      </c>
      <c r="AF67" s="36">
        <f>G67*(1-1)</f>
        <v>0</v>
      </c>
      <c r="AG67" s="32" t="s">
        <v>211</v>
      </c>
      <c r="AM67" s="36">
        <f>F67*AE67</f>
        <v>0</v>
      </c>
      <c r="AN67" s="36">
        <f>F67*AF67</f>
        <v>0</v>
      </c>
      <c r="AO67" s="37" t="s">
        <v>218</v>
      </c>
      <c r="AP67" s="37" t="s">
        <v>228</v>
      </c>
      <c r="AQ67" s="27" t="s">
        <v>232</v>
      </c>
      <c r="AS67" s="36">
        <f>AM67+AN67</f>
        <v>0</v>
      </c>
      <c r="AT67" s="36">
        <f>G67/(100-AU67)*100</f>
        <v>0</v>
      </c>
      <c r="AU67" s="36">
        <v>0</v>
      </c>
      <c r="AV67" s="36">
        <f>L67</f>
        <v>0</v>
      </c>
    </row>
    <row r="68" spans="1:48" ht="26.25">
      <c r="A68" s="6" t="s">
        <v>49</v>
      </c>
      <c r="B68" s="6" t="s">
        <v>58</v>
      </c>
      <c r="C68" s="6" t="s">
        <v>93</v>
      </c>
      <c r="D68" s="60" t="s">
        <v>165</v>
      </c>
      <c r="E68" s="6" t="s">
        <v>179</v>
      </c>
      <c r="F68" s="19">
        <v>1</v>
      </c>
      <c r="G68" s="18">
        <v>0</v>
      </c>
      <c r="H68" s="19">
        <f>F68*AE68</f>
        <v>0</v>
      </c>
      <c r="I68" s="19">
        <f>J68-H68</f>
        <v>0</v>
      </c>
      <c r="J68" s="19">
        <f>F68*G68</f>
        <v>0</v>
      </c>
      <c r="K68" s="19">
        <v>0</v>
      </c>
      <c r="L68" s="19">
        <f>F68*K68</f>
        <v>0</v>
      </c>
      <c r="M68" s="32"/>
      <c r="P68" s="36">
        <f>IF(AG68="5",J68,0)</f>
        <v>0</v>
      </c>
      <c r="R68" s="36">
        <f>IF(AG68="1",H68,0)</f>
        <v>0</v>
      </c>
      <c r="S68" s="36">
        <f>IF(AG68="1",I68,0)</f>
        <v>0</v>
      </c>
      <c r="T68" s="36">
        <f>IF(AG68="7",H68,0)</f>
        <v>0</v>
      </c>
      <c r="U68" s="36">
        <f>IF(AG68="7",I68,0)</f>
        <v>0</v>
      </c>
      <c r="V68" s="36">
        <f>IF(AG68="2",H68,0)</f>
        <v>0</v>
      </c>
      <c r="W68" s="36">
        <f>IF(AG68="2",I68,0)</f>
        <v>0</v>
      </c>
      <c r="X68" s="36">
        <f>IF(AG68="0",J68,0)</f>
        <v>0</v>
      </c>
      <c r="Y68" s="27" t="s">
        <v>58</v>
      </c>
      <c r="Z68" s="19">
        <f>IF(AD68=0,J68,0)</f>
        <v>0</v>
      </c>
      <c r="AA68" s="19">
        <f>IF(AD68=15,J68,0)</f>
        <v>0</v>
      </c>
      <c r="AB68" s="19">
        <f>IF(AD68=21,J68,0)</f>
        <v>0</v>
      </c>
      <c r="AD68" s="36">
        <v>21</v>
      </c>
      <c r="AE68" s="36">
        <f>G68*1</f>
        <v>0</v>
      </c>
      <c r="AF68" s="36">
        <f>G68*(1-1)</f>
        <v>0</v>
      </c>
      <c r="AG68" s="32" t="s">
        <v>211</v>
      </c>
      <c r="AM68" s="36">
        <f>F68*AE68</f>
        <v>0</v>
      </c>
      <c r="AN68" s="36">
        <f>F68*AF68</f>
        <v>0</v>
      </c>
      <c r="AO68" s="37" t="s">
        <v>218</v>
      </c>
      <c r="AP68" s="37" t="s">
        <v>228</v>
      </c>
      <c r="AQ68" s="27" t="s">
        <v>232</v>
      </c>
      <c r="AS68" s="36">
        <f>AM68+AN68</f>
        <v>0</v>
      </c>
      <c r="AT68" s="36">
        <f>G68/(100-AU68)*100</f>
        <v>0</v>
      </c>
      <c r="AU68" s="36">
        <v>0</v>
      </c>
      <c r="AV68" s="36">
        <f>L68</f>
        <v>0</v>
      </c>
    </row>
    <row r="69" spans="1:13" ht="12.75">
      <c r="A69" s="7"/>
      <c r="B69" s="15" t="s">
        <v>59</v>
      </c>
      <c r="C69" s="15"/>
      <c r="D69" s="61" t="s">
        <v>166</v>
      </c>
      <c r="E69" s="62"/>
      <c r="F69" s="62"/>
      <c r="G69" s="62"/>
      <c r="H69" s="40">
        <f>H70</f>
        <v>0</v>
      </c>
      <c r="I69" s="40">
        <f>I70</f>
        <v>0</v>
      </c>
      <c r="J69" s="40">
        <f>H69+I69</f>
        <v>0</v>
      </c>
      <c r="K69" s="28"/>
      <c r="L69" s="40">
        <f>L70</f>
        <v>0</v>
      </c>
      <c r="M69" s="28"/>
    </row>
    <row r="70" spans="1:37" ht="12.75">
      <c r="A70" s="4"/>
      <c r="B70" s="14" t="s">
        <v>59</v>
      </c>
      <c r="C70" s="14" t="s">
        <v>86</v>
      </c>
      <c r="D70" s="63" t="s">
        <v>139</v>
      </c>
      <c r="E70" s="64"/>
      <c r="F70" s="64"/>
      <c r="G70" s="64"/>
      <c r="H70" s="39">
        <f>SUM(H71:H72)</f>
        <v>0</v>
      </c>
      <c r="I70" s="39">
        <f>SUM(I71:I72)</f>
        <v>0</v>
      </c>
      <c r="J70" s="39">
        <f>H70+I70</f>
        <v>0</v>
      </c>
      <c r="K70" s="27"/>
      <c r="L70" s="39">
        <f>SUM(L71:L72)</f>
        <v>0</v>
      </c>
      <c r="M70" s="27"/>
      <c r="Y70" s="27" t="s">
        <v>59</v>
      </c>
      <c r="AI70" s="39">
        <f>SUM(Z71:Z72)</f>
        <v>0</v>
      </c>
      <c r="AJ70" s="39">
        <f>SUM(AA71:AA72)</f>
        <v>0</v>
      </c>
      <c r="AK70" s="39">
        <f>SUM(AB71:AB72)</f>
        <v>0</v>
      </c>
    </row>
    <row r="71" spans="1:48" ht="26.25">
      <c r="A71" s="5" t="s">
        <v>50</v>
      </c>
      <c r="B71" s="5" t="s">
        <v>59</v>
      </c>
      <c r="C71" s="5" t="s">
        <v>87</v>
      </c>
      <c r="D71" s="59" t="s">
        <v>167</v>
      </c>
      <c r="E71" s="5" t="s">
        <v>181</v>
      </c>
      <c r="F71" s="18">
        <v>60</v>
      </c>
      <c r="G71" s="18">
        <v>0</v>
      </c>
      <c r="H71" s="18">
        <f>F71*AE71</f>
        <v>0</v>
      </c>
      <c r="I71" s="18">
        <f>J71-H71</f>
        <v>0</v>
      </c>
      <c r="J71" s="18">
        <f>F71*G71</f>
        <v>0</v>
      </c>
      <c r="K71" s="18">
        <v>0</v>
      </c>
      <c r="L71" s="18">
        <f>F71*K71</f>
        <v>0</v>
      </c>
      <c r="M71" s="31" t="s">
        <v>201</v>
      </c>
      <c r="P71" s="36">
        <f>IF(AG71="5",J71,0)</f>
        <v>0</v>
      </c>
      <c r="R71" s="36">
        <f>IF(AG71="1",H71,0)</f>
        <v>0</v>
      </c>
      <c r="S71" s="36">
        <f>IF(AG71="1",I71,0)</f>
        <v>0</v>
      </c>
      <c r="T71" s="36">
        <f>IF(AG71="7",H71,0)</f>
        <v>0</v>
      </c>
      <c r="U71" s="36">
        <f>IF(AG71="7",I71,0)</f>
        <v>0</v>
      </c>
      <c r="V71" s="36">
        <f>IF(AG71="2",H71,0)</f>
        <v>0</v>
      </c>
      <c r="W71" s="36">
        <f>IF(AG71="2",I71,0)</f>
        <v>0</v>
      </c>
      <c r="X71" s="36">
        <f>IF(AG71="0",J71,0)</f>
        <v>0</v>
      </c>
      <c r="Y71" s="27" t="s">
        <v>59</v>
      </c>
      <c r="Z71" s="18">
        <f>IF(AD71=0,J71,0)</f>
        <v>0</v>
      </c>
      <c r="AA71" s="18">
        <f>IF(AD71=15,J71,0)</f>
        <v>0</v>
      </c>
      <c r="AB71" s="18">
        <f>IF(AD71=21,J71,0)</f>
        <v>0</v>
      </c>
      <c r="AD71" s="36">
        <v>21</v>
      </c>
      <c r="AE71" s="36">
        <f>G71*0</f>
        <v>0</v>
      </c>
      <c r="AF71" s="36">
        <f>G71*(1-0)</f>
        <v>0</v>
      </c>
      <c r="AG71" s="31" t="s">
        <v>7</v>
      </c>
      <c r="AM71" s="36">
        <f>F71*AE71</f>
        <v>0</v>
      </c>
      <c r="AN71" s="36">
        <f>F71*AF71</f>
        <v>0</v>
      </c>
      <c r="AO71" s="37" t="s">
        <v>216</v>
      </c>
      <c r="AP71" s="37" t="s">
        <v>229</v>
      </c>
      <c r="AQ71" s="27" t="s">
        <v>233</v>
      </c>
      <c r="AS71" s="36">
        <f>AM71+AN71</f>
        <v>0</v>
      </c>
      <c r="AT71" s="36">
        <f>G71/(100-AU71)*100</f>
        <v>0</v>
      </c>
      <c r="AU71" s="36">
        <v>0</v>
      </c>
      <c r="AV71" s="36">
        <f>L71</f>
        <v>0</v>
      </c>
    </row>
    <row r="72" spans="1:48" ht="12.75">
      <c r="A72" s="5" t="s">
        <v>51</v>
      </c>
      <c r="B72" s="5" t="s">
        <v>59</v>
      </c>
      <c r="C72" s="5" t="s">
        <v>87</v>
      </c>
      <c r="D72" s="5" t="s">
        <v>168</v>
      </c>
      <c r="E72" s="5" t="s">
        <v>181</v>
      </c>
      <c r="F72" s="18">
        <v>8</v>
      </c>
      <c r="G72" s="18">
        <v>0</v>
      </c>
      <c r="H72" s="18">
        <f>F72*AE72</f>
        <v>0</v>
      </c>
      <c r="I72" s="18">
        <f>J72-H72</f>
        <v>0</v>
      </c>
      <c r="J72" s="18">
        <f>F72*G72</f>
        <v>0</v>
      </c>
      <c r="K72" s="18">
        <v>0</v>
      </c>
      <c r="L72" s="18">
        <f>F72*K72</f>
        <v>0</v>
      </c>
      <c r="M72" s="31" t="s">
        <v>201</v>
      </c>
      <c r="P72" s="36">
        <f>IF(AG72="5",J72,0)</f>
        <v>0</v>
      </c>
      <c r="R72" s="36">
        <f>IF(AG72="1",H72,0)</f>
        <v>0</v>
      </c>
      <c r="S72" s="36">
        <f>IF(AG72="1",I72,0)</f>
        <v>0</v>
      </c>
      <c r="T72" s="36">
        <f>IF(AG72="7",H72,0)</f>
        <v>0</v>
      </c>
      <c r="U72" s="36">
        <f>IF(AG72="7",I72,0)</f>
        <v>0</v>
      </c>
      <c r="V72" s="36">
        <f>IF(AG72="2",H72,0)</f>
        <v>0</v>
      </c>
      <c r="W72" s="36">
        <f>IF(AG72="2",I72,0)</f>
        <v>0</v>
      </c>
      <c r="X72" s="36">
        <f>IF(AG72="0",J72,0)</f>
        <v>0</v>
      </c>
      <c r="Y72" s="27" t="s">
        <v>59</v>
      </c>
      <c r="Z72" s="18">
        <f>IF(AD72=0,J72,0)</f>
        <v>0</v>
      </c>
      <c r="AA72" s="18">
        <f>IF(AD72=15,J72,0)</f>
        <v>0</v>
      </c>
      <c r="AB72" s="18">
        <f>IF(AD72=21,J72,0)</f>
        <v>0</v>
      </c>
      <c r="AD72" s="36">
        <v>21</v>
      </c>
      <c r="AE72" s="36">
        <f>G72*0.186054968031272</f>
        <v>0</v>
      </c>
      <c r="AF72" s="36">
        <f>G72*(1-0.186054968031272)</f>
        <v>0</v>
      </c>
      <c r="AG72" s="31" t="s">
        <v>7</v>
      </c>
      <c r="AM72" s="36">
        <f>F72*AE72</f>
        <v>0</v>
      </c>
      <c r="AN72" s="36">
        <f>F72*AF72</f>
        <v>0</v>
      </c>
      <c r="AO72" s="37" t="s">
        <v>216</v>
      </c>
      <c r="AP72" s="37" t="s">
        <v>229</v>
      </c>
      <c r="AQ72" s="27" t="s">
        <v>233</v>
      </c>
      <c r="AS72" s="36">
        <f>AM72+AN72</f>
        <v>0</v>
      </c>
      <c r="AT72" s="36">
        <f>G72/(100-AU72)*100</f>
        <v>0</v>
      </c>
      <c r="AU72" s="36">
        <v>0</v>
      </c>
      <c r="AV72" s="36">
        <f>L72</f>
        <v>0</v>
      </c>
    </row>
    <row r="73" spans="1:13" ht="12.75">
      <c r="A73" s="7"/>
      <c r="B73" s="15" t="s">
        <v>60</v>
      </c>
      <c r="C73" s="15"/>
      <c r="D73" s="61" t="s">
        <v>169</v>
      </c>
      <c r="E73" s="62"/>
      <c r="F73" s="62"/>
      <c r="G73" s="62"/>
      <c r="H73" s="40">
        <f>H74</f>
        <v>0</v>
      </c>
      <c r="I73" s="40">
        <f>I74</f>
        <v>0</v>
      </c>
      <c r="J73" s="40">
        <f>H73+I73</f>
        <v>0</v>
      </c>
      <c r="K73" s="28"/>
      <c r="L73" s="40">
        <f>L74</f>
        <v>0</v>
      </c>
      <c r="M73" s="28"/>
    </row>
    <row r="74" spans="1:37" ht="12.75">
      <c r="A74" s="4"/>
      <c r="B74" s="14" t="s">
        <v>60</v>
      </c>
      <c r="C74" s="14" t="s">
        <v>106</v>
      </c>
      <c r="D74" s="63" t="s">
        <v>170</v>
      </c>
      <c r="E74" s="64"/>
      <c r="F74" s="64"/>
      <c r="G74" s="64"/>
      <c r="H74" s="39">
        <f>SUM(H75:H77)</f>
        <v>0</v>
      </c>
      <c r="I74" s="39">
        <f>SUM(I75:I77)</f>
        <v>0</v>
      </c>
      <c r="J74" s="39">
        <f>H74+I74</f>
        <v>0</v>
      </c>
      <c r="K74" s="27"/>
      <c r="L74" s="39">
        <f>SUM(L75:L77)</f>
        <v>0</v>
      </c>
      <c r="M74" s="27"/>
      <c r="Y74" s="27" t="s">
        <v>60</v>
      </c>
      <c r="AI74" s="39">
        <f>SUM(Z75:Z77)</f>
        <v>0</v>
      </c>
      <c r="AJ74" s="39">
        <f>SUM(AA75:AA77)</f>
        <v>0</v>
      </c>
      <c r="AK74" s="39">
        <f>SUM(AB75:AB77)</f>
        <v>0</v>
      </c>
    </row>
    <row r="75" spans="1:48" ht="12.75">
      <c r="A75" s="5" t="s">
        <v>52</v>
      </c>
      <c r="B75" s="5" t="s">
        <v>60</v>
      </c>
      <c r="C75" s="5" t="s">
        <v>107</v>
      </c>
      <c r="D75" s="5" t="s">
        <v>171</v>
      </c>
      <c r="E75" s="5" t="s">
        <v>183</v>
      </c>
      <c r="F75" s="18">
        <v>1</v>
      </c>
      <c r="G75" s="18">
        <v>0</v>
      </c>
      <c r="H75" s="18">
        <f>F75*AE75</f>
        <v>0</v>
      </c>
      <c r="I75" s="18">
        <f>J75-H75</f>
        <v>0</v>
      </c>
      <c r="J75" s="18">
        <f>F75*G75</f>
        <v>0</v>
      </c>
      <c r="K75" s="18">
        <v>0</v>
      </c>
      <c r="L75" s="18">
        <f>F75*K75</f>
        <v>0</v>
      </c>
      <c r="M75" s="31"/>
      <c r="P75" s="36">
        <f>IF(AG75="5",J75,0)</f>
        <v>0</v>
      </c>
      <c r="R75" s="36">
        <f>IF(AG75="1",H75,0)</f>
        <v>0</v>
      </c>
      <c r="S75" s="36">
        <f>IF(AG75="1",I75,0)</f>
        <v>0</v>
      </c>
      <c r="T75" s="36">
        <f>IF(AG75="7",H75,0)</f>
        <v>0</v>
      </c>
      <c r="U75" s="36">
        <f>IF(AG75="7",I75,0)</f>
        <v>0</v>
      </c>
      <c r="V75" s="36">
        <f>IF(AG75="2",H75,0)</f>
        <v>0</v>
      </c>
      <c r="W75" s="36">
        <f>IF(AG75="2",I75,0)</f>
        <v>0</v>
      </c>
      <c r="X75" s="36">
        <f>IF(AG75="0",J75,0)</f>
        <v>0</v>
      </c>
      <c r="Y75" s="27" t="s">
        <v>60</v>
      </c>
      <c r="Z75" s="18">
        <f>IF(AD75=0,J75,0)</f>
        <v>0</v>
      </c>
      <c r="AA75" s="18">
        <f>IF(AD75=15,J75,0)</f>
        <v>0</v>
      </c>
      <c r="AB75" s="18">
        <f>IF(AD75=21,J75,0)</f>
        <v>0</v>
      </c>
      <c r="AD75" s="36">
        <v>21</v>
      </c>
      <c r="AE75" s="36">
        <f>G75*0</f>
        <v>0</v>
      </c>
      <c r="AF75" s="36">
        <f>G75*(1-0)</f>
        <v>0</v>
      </c>
      <c r="AG75" s="31" t="s">
        <v>7</v>
      </c>
      <c r="AM75" s="36">
        <f>F75*AE75</f>
        <v>0</v>
      </c>
      <c r="AN75" s="36">
        <f>F75*AF75</f>
        <v>0</v>
      </c>
      <c r="AO75" s="37" t="s">
        <v>221</v>
      </c>
      <c r="AP75" s="37" t="s">
        <v>230</v>
      </c>
      <c r="AQ75" s="27" t="s">
        <v>234</v>
      </c>
      <c r="AS75" s="36">
        <f>AM75+AN75</f>
        <v>0</v>
      </c>
      <c r="AT75" s="36">
        <f>G75/(100-AU75)*100</f>
        <v>0</v>
      </c>
      <c r="AU75" s="36">
        <v>0</v>
      </c>
      <c r="AV75" s="36">
        <f>L75</f>
        <v>0</v>
      </c>
    </row>
    <row r="76" spans="1:48" ht="12.75">
      <c r="A76" s="5" t="s">
        <v>53</v>
      </c>
      <c r="B76" s="5" t="s">
        <v>60</v>
      </c>
      <c r="C76" s="5" t="s">
        <v>108</v>
      </c>
      <c r="D76" s="5" t="s">
        <v>172</v>
      </c>
      <c r="E76" s="5" t="s">
        <v>183</v>
      </c>
      <c r="F76" s="18">
        <v>1</v>
      </c>
      <c r="G76" s="18">
        <v>0</v>
      </c>
      <c r="H76" s="18">
        <f>F76*AE76</f>
        <v>0</v>
      </c>
      <c r="I76" s="18">
        <f>J76-H76</f>
        <v>0</v>
      </c>
      <c r="J76" s="18">
        <f>F76*G76</f>
        <v>0</v>
      </c>
      <c r="K76" s="18">
        <v>0</v>
      </c>
      <c r="L76" s="18">
        <f>F76*K76</f>
        <v>0</v>
      </c>
      <c r="M76" s="31"/>
      <c r="P76" s="36">
        <f>IF(AG76="5",J76,0)</f>
        <v>0</v>
      </c>
      <c r="R76" s="36">
        <f>IF(AG76="1",H76,0)</f>
        <v>0</v>
      </c>
      <c r="S76" s="36">
        <f>IF(AG76="1",I76,0)</f>
        <v>0</v>
      </c>
      <c r="T76" s="36">
        <f>IF(AG76="7",H76,0)</f>
        <v>0</v>
      </c>
      <c r="U76" s="36">
        <f>IF(AG76="7",I76,0)</f>
        <v>0</v>
      </c>
      <c r="V76" s="36">
        <f>IF(AG76="2",H76,0)</f>
        <v>0</v>
      </c>
      <c r="W76" s="36">
        <f>IF(AG76="2",I76,0)</f>
        <v>0</v>
      </c>
      <c r="X76" s="36">
        <f>IF(AG76="0",J76,0)</f>
        <v>0</v>
      </c>
      <c r="Y76" s="27" t="s">
        <v>60</v>
      </c>
      <c r="Z76" s="18">
        <f>IF(AD76=0,J76,0)</f>
        <v>0</v>
      </c>
      <c r="AA76" s="18">
        <f>IF(AD76=15,J76,0)</f>
        <v>0</v>
      </c>
      <c r="AB76" s="18">
        <f>IF(AD76=21,J76,0)</f>
        <v>0</v>
      </c>
      <c r="AD76" s="36">
        <v>21</v>
      </c>
      <c r="AE76" s="36">
        <f>G76*0</f>
        <v>0</v>
      </c>
      <c r="AF76" s="36">
        <f>G76*(1-0)</f>
        <v>0</v>
      </c>
      <c r="AG76" s="31" t="s">
        <v>7</v>
      </c>
      <c r="AM76" s="36">
        <f>F76*AE76</f>
        <v>0</v>
      </c>
      <c r="AN76" s="36">
        <f>F76*AF76</f>
        <v>0</v>
      </c>
      <c r="AO76" s="37" t="s">
        <v>221</v>
      </c>
      <c r="AP76" s="37" t="s">
        <v>230</v>
      </c>
      <c r="AQ76" s="27" t="s">
        <v>234</v>
      </c>
      <c r="AS76" s="36">
        <f>AM76+AN76</f>
        <v>0</v>
      </c>
      <c r="AT76" s="36">
        <f>G76/(100-AU76)*100</f>
        <v>0</v>
      </c>
      <c r="AU76" s="36">
        <v>0</v>
      </c>
      <c r="AV76" s="36">
        <f>L76</f>
        <v>0</v>
      </c>
    </row>
    <row r="77" spans="1:48" ht="12.75">
      <c r="A77" s="8" t="s">
        <v>54</v>
      </c>
      <c r="B77" s="8" t="s">
        <v>60</v>
      </c>
      <c r="C77" s="8" t="s">
        <v>109</v>
      </c>
      <c r="D77" s="8" t="s">
        <v>277</v>
      </c>
      <c r="E77" s="8" t="s">
        <v>183</v>
      </c>
      <c r="F77" s="20">
        <v>1</v>
      </c>
      <c r="G77" s="18">
        <v>0</v>
      </c>
      <c r="H77" s="20">
        <f>F77*AE77</f>
        <v>0</v>
      </c>
      <c r="I77" s="20">
        <f>J77-H77</f>
        <v>0</v>
      </c>
      <c r="J77" s="20">
        <f>F77*G77</f>
        <v>0</v>
      </c>
      <c r="K77" s="20">
        <v>0</v>
      </c>
      <c r="L77" s="20">
        <f>F77*K77</f>
        <v>0</v>
      </c>
      <c r="M77" s="33"/>
      <c r="P77" s="36">
        <f>IF(AG77="5",J77,0)</f>
        <v>0</v>
      </c>
      <c r="R77" s="36">
        <f>IF(AG77="1",H77,0)</f>
        <v>0</v>
      </c>
      <c r="S77" s="36">
        <f>IF(AG77="1",I77,0)</f>
        <v>0</v>
      </c>
      <c r="T77" s="36">
        <f>IF(AG77="7",H77,0)</f>
        <v>0</v>
      </c>
      <c r="U77" s="36">
        <f>IF(AG77="7",I77,0)</f>
        <v>0</v>
      </c>
      <c r="V77" s="36">
        <f>IF(AG77="2",H77,0)</f>
        <v>0</v>
      </c>
      <c r="W77" s="36">
        <f>IF(AG77="2",I77,0)</f>
        <v>0</v>
      </c>
      <c r="X77" s="36">
        <f>IF(AG77="0",J77,0)</f>
        <v>0</v>
      </c>
      <c r="Y77" s="27" t="s">
        <v>60</v>
      </c>
      <c r="Z77" s="18">
        <f>IF(AD77=0,J77,0)</f>
        <v>0</v>
      </c>
      <c r="AA77" s="18">
        <f>IF(AD77=15,J77,0)</f>
        <v>0</v>
      </c>
      <c r="AB77" s="18">
        <f>IF(AD77=21,J77,0)</f>
        <v>0</v>
      </c>
      <c r="AD77" s="36">
        <v>21</v>
      </c>
      <c r="AE77" s="36">
        <f>G77*0</f>
        <v>0</v>
      </c>
      <c r="AF77" s="36">
        <f>G77*(1-0)</f>
        <v>0</v>
      </c>
      <c r="AG77" s="31" t="s">
        <v>7</v>
      </c>
      <c r="AM77" s="36">
        <f>F77*AE77</f>
        <v>0</v>
      </c>
      <c r="AN77" s="36">
        <f>F77*AF77</f>
        <v>0</v>
      </c>
      <c r="AO77" s="37" t="s">
        <v>221</v>
      </c>
      <c r="AP77" s="37" t="s">
        <v>230</v>
      </c>
      <c r="AQ77" s="27" t="s">
        <v>234</v>
      </c>
      <c r="AS77" s="36">
        <f>AM77+AN77</f>
        <v>0</v>
      </c>
      <c r="AT77" s="36">
        <f>G77/(100-AU77)*100</f>
        <v>0</v>
      </c>
      <c r="AU77" s="36">
        <v>0</v>
      </c>
      <c r="AV77" s="36">
        <f>L77</f>
        <v>0</v>
      </c>
    </row>
    <row r="78" spans="1:13" ht="12.75">
      <c r="A78" s="9"/>
      <c r="B78" s="9"/>
      <c r="C78" s="9"/>
      <c r="D78" s="9"/>
      <c r="E78" s="9"/>
      <c r="F78" s="9"/>
      <c r="G78" s="9"/>
      <c r="H78" s="65" t="s">
        <v>190</v>
      </c>
      <c r="I78" s="66"/>
      <c r="J78" s="41">
        <f>J13+J17+J21+J25+J37+J41+J43+J50+J58+J60+J63+J65+J70+J74</f>
        <v>0</v>
      </c>
      <c r="K78" s="9"/>
      <c r="L78" s="9"/>
      <c r="M78" s="9"/>
    </row>
    <row r="79" ht="11.25" customHeight="1">
      <c r="A79" s="10" t="s">
        <v>55</v>
      </c>
    </row>
    <row r="80" spans="1:13" ht="12.75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</sheetData>
  <sheetProtection/>
  <mergeCells count="4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7:G17"/>
    <mergeCell ref="D21:G21"/>
    <mergeCell ref="D25:G25"/>
    <mergeCell ref="D37:G37"/>
    <mergeCell ref="D41:G41"/>
    <mergeCell ref="D43:G43"/>
    <mergeCell ref="D49:G49"/>
    <mergeCell ref="D50:G50"/>
    <mergeCell ref="D73:G73"/>
    <mergeCell ref="D74:G74"/>
    <mergeCell ref="H78:I78"/>
    <mergeCell ref="A80:M80"/>
    <mergeCell ref="D58:G58"/>
    <mergeCell ref="D60:G60"/>
    <mergeCell ref="D63:G63"/>
    <mergeCell ref="D65:G65"/>
    <mergeCell ref="D69:G69"/>
    <mergeCell ref="D70:G70"/>
  </mergeCells>
  <printOptions/>
  <pageMargins left="0.394" right="0.394" top="0.591" bottom="0.591" header="0.5" footer="0.5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3">
      <selection activeCell="C1" sqref="A1:I3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8"/>
      <c r="B1" s="42"/>
      <c r="C1" s="115" t="s">
        <v>249</v>
      </c>
      <c r="D1" s="116"/>
      <c r="E1" s="116"/>
      <c r="F1" s="116"/>
      <c r="G1" s="116"/>
      <c r="H1" s="116"/>
      <c r="I1" s="116"/>
    </row>
    <row r="2" spans="1:10" ht="12.75">
      <c r="A2" s="84" t="s">
        <v>1</v>
      </c>
      <c r="B2" s="85"/>
      <c r="C2" s="86" t="s">
        <v>110</v>
      </c>
      <c r="D2" s="66"/>
      <c r="E2" s="89" t="s">
        <v>191</v>
      </c>
      <c r="F2" s="89"/>
      <c r="G2" s="85"/>
      <c r="H2" s="89" t="s">
        <v>273</v>
      </c>
      <c r="I2" s="117"/>
      <c r="J2" s="34"/>
    </row>
    <row r="3" spans="1:10" ht="25.5" customHeight="1">
      <c r="A3" s="81"/>
      <c r="B3" s="68"/>
      <c r="C3" s="87"/>
      <c r="D3" s="87"/>
      <c r="E3" s="68"/>
      <c r="F3" s="68"/>
      <c r="G3" s="68"/>
      <c r="H3" s="68"/>
      <c r="I3" s="79"/>
      <c r="J3" s="34"/>
    </row>
    <row r="4" spans="1:10" ht="12.75">
      <c r="A4" s="74" t="s">
        <v>2</v>
      </c>
      <c r="B4" s="68"/>
      <c r="C4" s="67"/>
      <c r="D4" s="68"/>
      <c r="E4" s="67" t="s">
        <v>192</v>
      </c>
      <c r="F4" s="67"/>
      <c r="G4" s="68"/>
      <c r="H4" s="67" t="s">
        <v>273</v>
      </c>
      <c r="I4" s="114"/>
      <c r="J4" s="34"/>
    </row>
    <row r="5" spans="1:10" ht="12.75">
      <c r="A5" s="81"/>
      <c r="B5" s="68"/>
      <c r="C5" s="68"/>
      <c r="D5" s="68"/>
      <c r="E5" s="68"/>
      <c r="F5" s="68"/>
      <c r="G5" s="68"/>
      <c r="H5" s="68"/>
      <c r="I5" s="79"/>
      <c r="J5" s="34"/>
    </row>
    <row r="6" spans="1:10" ht="12.75">
      <c r="A6" s="74" t="s">
        <v>3</v>
      </c>
      <c r="B6" s="68"/>
      <c r="C6" s="67" t="s">
        <v>111</v>
      </c>
      <c r="D6" s="68"/>
      <c r="E6" s="67" t="s">
        <v>193</v>
      </c>
      <c r="F6" s="67"/>
      <c r="G6" s="68"/>
      <c r="H6" s="67" t="s">
        <v>273</v>
      </c>
      <c r="I6" s="114"/>
      <c r="J6" s="34"/>
    </row>
    <row r="7" spans="1:10" ht="12.75">
      <c r="A7" s="81"/>
      <c r="B7" s="68"/>
      <c r="C7" s="68"/>
      <c r="D7" s="68"/>
      <c r="E7" s="68"/>
      <c r="F7" s="68"/>
      <c r="G7" s="68"/>
      <c r="H7" s="68"/>
      <c r="I7" s="79"/>
      <c r="J7" s="34"/>
    </row>
    <row r="8" spans="1:10" ht="12.75">
      <c r="A8" s="74" t="s">
        <v>174</v>
      </c>
      <c r="B8" s="68"/>
      <c r="C8" s="77" t="s">
        <v>6</v>
      </c>
      <c r="D8" s="68"/>
      <c r="E8" s="67" t="s">
        <v>175</v>
      </c>
      <c r="F8" s="68"/>
      <c r="G8" s="68"/>
      <c r="H8" s="77" t="s">
        <v>274</v>
      </c>
      <c r="I8" s="114" t="s">
        <v>54</v>
      </c>
      <c r="J8" s="34"/>
    </row>
    <row r="9" spans="1:10" ht="12.75">
      <c r="A9" s="81"/>
      <c r="B9" s="68"/>
      <c r="C9" s="68"/>
      <c r="D9" s="68"/>
      <c r="E9" s="68"/>
      <c r="F9" s="68"/>
      <c r="G9" s="68"/>
      <c r="H9" s="68"/>
      <c r="I9" s="79"/>
      <c r="J9" s="34"/>
    </row>
    <row r="10" spans="1:10" ht="12.75">
      <c r="A10" s="74" t="s">
        <v>4</v>
      </c>
      <c r="B10" s="68"/>
      <c r="C10" s="67"/>
      <c r="D10" s="68"/>
      <c r="E10" s="67" t="s">
        <v>194</v>
      </c>
      <c r="F10" s="67"/>
      <c r="G10" s="68"/>
      <c r="H10" s="77" t="s">
        <v>275</v>
      </c>
      <c r="I10" s="112">
        <v>42852</v>
      </c>
      <c r="J10" s="34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3"/>
      <c r="J11" s="34"/>
    </row>
    <row r="12" spans="1:9" ht="23.25" customHeight="1">
      <c r="A12" s="106" t="s">
        <v>235</v>
      </c>
      <c r="B12" s="107"/>
      <c r="C12" s="107"/>
      <c r="D12" s="107"/>
      <c r="E12" s="107"/>
      <c r="F12" s="107"/>
      <c r="G12" s="107"/>
      <c r="H12" s="107"/>
      <c r="I12" s="107"/>
    </row>
    <row r="13" spans="1:10" ht="26.25" customHeight="1">
      <c r="A13" s="43" t="s">
        <v>236</v>
      </c>
      <c r="B13" s="108" t="s">
        <v>247</v>
      </c>
      <c r="C13" s="109"/>
      <c r="D13" s="43" t="s">
        <v>250</v>
      </c>
      <c r="E13" s="108" t="s">
        <v>259</v>
      </c>
      <c r="F13" s="109"/>
      <c r="G13" s="43" t="s">
        <v>260</v>
      </c>
      <c r="H13" s="108" t="s">
        <v>276</v>
      </c>
      <c r="I13" s="109"/>
      <c r="J13" s="34"/>
    </row>
    <row r="14" spans="1:10" ht="15" customHeight="1">
      <c r="A14" s="44" t="s">
        <v>237</v>
      </c>
      <c r="B14" s="48" t="s">
        <v>248</v>
      </c>
      <c r="C14" s="52">
        <f>SUM('Stavební rozpočet'!R12:R77)</f>
        <v>0</v>
      </c>
      <c r="D14" s="104" t="s">
        <v>251</v>
      </c>
      <c r="E14" s="105"/>
      <c r="F14" s="52">
        <v>0</v>
      </c>
      <c r="G14" s="104" t="s">
        <v>261</v>
      </c>
      <c r="H14" s="105"/>
      <c r="I14" s="52">
        <v>0</v>
      </c>
      <c r="J14" s="34"/>
    </row>
    <row r="15" spans="1:10" ht="15" customHeight="1">
      <c r="A15" s="45"/>
      <c r="B15" s="48" t="s">
        <v>195</v>
      </c>
      <c r="C15" s="52">
        <f>SUM('Stavební rozpočet'!S12:S77)</f>
        <v>0</v>
      </c>
      <c r="D15" s="104" t="s">
        <v>252</v>
      </c>
      <c r="E15" s="105"/>
      <c r="F15" s="52">
        <v>0</v>
      </c>
      <c r="G15" s="104" t="s">
        <v>262</v>
      </c>
      <c r="H15" s="105"/>
      <c r="I15" s="52">
        <v>0</v>
      </c>
      <c r="J15" s="34"/>
    </row>
    <row r="16" spans="1:10" ht="15" customHeight="1">
      <c r="A16" s="44" t="s">
        <v>238</v>
      </c>
      <c r="B16" s="48" t="s">
        <v>248</v>
      </c>
      <c r="C16" s="52">
        <f>SUM('Stavební rozpočet'!T12:T77)</f>
        <v>0</v>
      </c>
      <c r="D16" s="104" t="s">
        <v>253</v>
      </c>
      <c r="E16" s="105"/>
      <c r="F16" s="52">
        <v>0</v>
      </c>
      <c r="G16" s="104" t="s">
        <v>263</v>
      </c>
      <c r="H16" s="105"/>
      <c r="I16" s="52">
        <v>0</v>
      </c>
      <c r="J16" s="34"/>
    </row>
    <row r="17" spans="1:10" ht="15" customHeight="1">
      <c r="A17" s="45"/>
      <c r="B17" s="48" t="s">
        <v>195</v>
      </c>
      <c r="C17" s="52">
        <f>SUM('Stavební rozpočet'!U12:U77)</f>
        <v>0</v>
      </c>
      <c r="D17" s="104"/>
      <c r="E17" s="105"/>
      <c r="F17" s="53"/>
      <c r="G17" s="104" t="s">
        <v>264</v>
      </c>
      <c r="H17" s="105"/>
      <c r="I17" s="52">
        <v>0</v>
      </c>
      <c r="J17" s="34"/>
    </row>
    <row r="18" spans="1:10" ht="15" customHeight="1">
      <c r="A18" s="44" t="s">
        <v>239</v>
      </c>
      <c r="B18" s="48" t="s">
        <v>248</v>
      </c>
      <c r="C18" s="52">
        <f>SUM('Stavební rozpočet'!V12:V77)</f>
        <v>0</v>
      </c>
      <c r="D18" s="104"/>
      <c r="E18" s="105"/>
      <c r="F18" s="53"/>
      <c r="G18" s="104" t="s">
        <v>170</v>
      </c>
      <c r="H18" s="105"/>
      <c r="I18" s="52">
        <v>0</v>
      </c>
      <c r="J18" s="34"/>
    </row>
    <row r="19" spans="1:10" ht="15" customHeight="1">
      <c r="A19" s="45"/>
      <c r="B19" s="48" t="s">
        <v>195</v>
      </c>
      <c r="C19" s="52">
        <f>SUM('Stavební rozpočet'!W12:W77)</f>
        <v>0</v>
      </c>
      <c r="D19" s="104"/>
      <c r="E19" s="105"/>
      <c r="F19" s="53"/>
      <c r="G19" s="104" t="s">
        <v>265</v>
      </c>
      <c r="H19" s="105"/>
      <c r="I19" s="52">
        <v>0</v>
      </c>
      <c r="J19" s="34"/>
    </row>
    <row r="20" spans="1:10" ht="15" customHeight="1">
      <c r="A20" s="102" t="s">
        <v>144</v>
      </c>
      <c r="B20" s="103"/>
      <c r="C20" s="52">
        <f>SUM('Stavební rozpočet'!X12:X77)</f>
        <v>0</v>
      </c>
      <c r="D20" s="104"/>
      <c r="E20" s="105"/>
      <c r="F20" s="53"/>
      <c r="G20" s="104"/>
      <c r="H20" s="105"/>
      <c r="I20" s="53"/>
      <c r="J20" s="34"/>
    </row>
    <row r="21" spans="1:10" ht="15" customHeight="1">
      <c r="A21" s="102" t="s">
        <v>240</v>
      </c>
      <c r="B21" s="103"/>
      <c r="C21" s="52">
        <f>SUM('Stavební rozpočet'!P12:P77)</f>
        <v>0</v>
      </c>
      <c r="D21" s="104"/>
      <c r="E21" s="105"/>
      <c r="F21" s="53"/>
      <c r="G21" s="104"/>
      <c r="H21" s="105"/>
      <c r="I21" s="53"/>
      <c r="J21" s="34"/>
    </row>
    <row r="22" spans="1:10" ht="16.5" customHeight="1">
      <c r="A22" s="102" t="s">
        <v>241</v>
      </c>
      <c r="B22" s="103"/>
      <c r="C22" s="52">
        <f>SUM(C14:C21)</f>
        <v>0</v>
      </c>
      <c r="D22" s="102" t="s">
        <v>254</v>
      </c>
      <c r="E22" s="103"/>
      <c r="F22" s="52">
        <f>SUM(F14:F21)</f>
        <v>0</v>
      </c>
      <c r="G22" s="102" t="s">
        <v>266</v>
      </c>
      <c r="H22" s="103"/>
      <c r="I22" s="52">
        <f>SUM(I14:I21)</f>
        <v>0</v>
      </c>
      <c r="J22" s="34"/>
    </row>
    <row r="23" spans="1:10" ht="15" customHeight="1">
      <c r="A23" s="9"/>
      <c r="B23" s="9"/>
      <c r="C23" s="50"/>
      <c r="D23" s="102" t="s">
        <v>255</v>
      </c>
      <c r="E23" s="103"/>
      <c r="F23" s="54">
        <v>0</v>
      </c>
      <c r="G23" s="102" t="s">
        <v>267</v>
      </c>
      <c r="H23" s="103"/>
      <c r="I23" s="52">
        <v>0</v>
      </c>
      <c r="J23" s="34"/>
    </row>
    <row r="24" spans="4:10" ht="15" customHeight="1">
      <c r="D24" s="9"/>
      <c r="E24" s="9"/>
      <c r="F24" s="55"/>
      <c r="G24" s="102" t="s">
        <v>268</v>
      </c>
      <c r="H24" s="103"/>
      <c r="I24" s="52">
        <v>0</v>
      </c>
      <c r="J24" s="34"/>
    </row>
    <row r="25" spans="6:10" ht="15" customHeight="1">
      <c r="F25" s="56"/>
      <c r="G25" s="102" t="s">
        <v>269</v>
      </c>
      <c r="H25" s="103"/>
      <c r="I25" s="52">
        <v>0</v>
      </c>
      <c r="J25" s="34"/>
    </row>
    <row r="26" spans="1:9" ht="12.75">
      <c r="A26" s="42"/>
      <c r="B26" s="42"/>
      <c r="C26" s="42"/>
      <c r="G26" s="9"/>
      <c r="H26" s="9"/>
      <c r="I26" s="9"/>
    </row>
    <row r="27" spans="1:9" ht="15" customHeight="1">
      <c r="A27" s="97" t="s">
        <v>242</v>
      </c>
      <c r="B27" s="98"/>
      <c r="C27" s="57">
        <f>SUM('Stavební rozpočet'!Z12:Z77)</f>
        <v>0</v>
      </c>
      <c r="D27" s="51"/>
      <c r="E27" s="42"/>
      <c r="F27" s="42"/>
      <c r="G27" s="42"/>
      <c r="H27" s="42"/>
      <c r="I27" s="42"/>
    </row>
    <row r="28" spans="1:10" ht="15" customHeight="1">
      <c r="A28" s="97" t="s">
        <v>243</v>
      </c>
      <c r="B28" s="98"/>
      <c r="C28" s="57">
        <f>SUM('Stavební rozpočet'!AA12:AA77)</f>
        <v>0</v>
      </c>
      <c r="D28" s="97" t="s">
        <v>256</v>
      </c>
      <c r="E28" s="98"/>
      <c r="F28" s="57">
        <f>ROUND(C28*(15/100),2)</f>
        <v>0</v>
      </c>
      <c r="G28" s="97" t="s">
        <v>270</v>
      </c>
      <c r="H28" s="98"/>
      <c r="I28" s="57">
        <f>SUM(C27:C29)</f>
        <v>0</v>
      </c>
      <c r="J28" s="34"/>
    </row>
    <row r="29" spans="1:10" ht="15" customHeight="1">
      <c r="A29" s="97" t="s">
        <v>244</v>
      </c>
      <c r="B29" s="98"/>
      <c r="C29" s="57">
        <f>SUM('Stavební rozpočet'!AB12:AB77)+(F22+I22+F23+I23+I24+I25)</f>
        <v>0</v>
      </c>
      <c r="D29" s="97" t="s">
        <v>257</v>
      </c>
      <c r="E29" s="98"/>
      <c r="F29" s="57">
        <f>ROUND(C29*(21/100),2)</f>
        <v>0</v>
      </c>
      <c r="G29" s="97" t="s">
        <v>271</v>
      </c>
      <c r="H29" s="98"/>
      <c r="I29" s="57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99" t="s">
        <v>245</v>
      </c>
      <c r="B31" s="100"/>
      <c r="C31" s="101"/>
      <c r="D31" s="99" t="s">
        <v>258</v>
      </c>
      <c r="E31" s="100"/>
      <c r="F31" s="101"/>
      <c r="G31" s="99" t="s">
        <v>272</v>
      </c>
      <c r="H31" s="100"/>
      <c r="I31" s="101"/>
      <c r="J31" s="35"/>
    </row>
    <row r="32" spans="1:10" ht="14.25" customHeight="1">
      <c r="A32" s="91"/>
      <c r="B32" s="92"/>
      <c r="C32" s="93"/>
      <c r="D32" s="91"/>
      <c r="E32" s="92"/>
      <c r="F32" s="93"/>
      <c r="G32" s="91"/>
      <c r="H32" s="92"/>
      <c r="I32" s="93"/>
      <c r="J32" s="35"/>
    </row>
    <row r="33" spans="1:10" ht="14.25" customHeight="1">
      <c r="A33" s="91"/>
      <c r="B33" s="92"/>
      <c r="C33" s="93"/>
      <c r="D33" s="91"/>
      <c r="E33" s="92"/>
      <c r="F33" s="93"/>
      <c r="G33" s="91"/>
      <c r="H33" s="92"/>
      <c r="I33" s="93"/>
      <c r="J33" s="35"/>
    </row>
    <row r="34" spans="1:10" ht="14.25" customHeight="1">
      <c r="A34" s="91"/>
      <c r="B34" s="92"/>
      <c r="C34" s="93"/>
      <c r="D34" s="91"/>
      <c r="E34" s="92"/>
      <c r="F34" s="93"/>
      <c r="G34" s="91"/>
      <c r="H34" s="92"/>
      <c r="I34" s="93"/>
      <c r="J34" s="35"/>
    </row>
    <row r="35" spans="1:10" ht="14.25" customHeight="1">
      <c r="A35" s="94" t="s">
        <v>246</v>
      </c>
      <c r="B35" s="95"/>
      <c r="C35" s="96"/>
      <c r="D35" s="94" t="s">
        <v>246</v>
      </c>
      <c r="E35" s="95"/>
      <c r="F35" s="96"/>
      <c r="G35" s="94" t="s">
        <v>246</v>
      </c>
      <c r="H35" s="95"/>
      <c r="I35" s="96"/>
      <c r="J35" s="35"/>
    </row>
    <row r="36" spans="1:9" ht="11.25" customHeight="1">
      <c r="A36" s="47" t="s">
        <v>55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67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Kawulok</dc:creator>
  <cp:keywords/>
  <dc:description/>
  <cp:lastModifiedBy>Marian Kawulok</cp:lastModifiedBy>
  <cp:lastPrinted>2017-05-03T04:36:24Z</cp:lastPrinted>
  <dcterms:created xsi:type="dcterms:W3CDTF">2017-04-28T06:40:10Z</dcterms:created>
  <dcterms:modified xsi:type="dcterms:W3CDTF">2017-05-03T04:37:26Z</dcterms:modified>
  <cp:category/>
  <cp:version/>
  <cp:contentType/>
  <cp:contentStatus/>
</cp:coreProperties>
</file>