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496" authorId="0">
      <text>
        <r>
          <rPr>
            <b/>
            <sz val="9"/>
            <rFont val="Tahoma"/>
            <family val="0"/>
          </rPr>
          <t>tuto výslednou cenu přeneste do krycího listu nabídky jako cenu hodnocenou</t>
        </r>
      </text>
    </comment>
    <comment ref="M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5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6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7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8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9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0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1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2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3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4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5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6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7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8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19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0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1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2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3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4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5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6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7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8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29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0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1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2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3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4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5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6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7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8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39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0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1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2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3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4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5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6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7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5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6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7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8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89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0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1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2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3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4" authorId="0">
      <text>
        <r>
          <rPr>
            <b/>
            <sz val="9"/>
            <rFont val="Tahoma"/>
            <family val="2"/>
          </rPr>
          <t>doplňte cenu v Kč bez DPH</t>
        </r>
      </text>
    </comment>
    <comment ref="M495" authorId="0">
      <text>
        <r>
          <rPr>
            <b/>
            <sz val="9"/>
            <rFont val="Tahoma"/>
            <family val="2"/>
          </rPr>
          <t>doplňte cenu v Kč bez DPH</t>
        </r>
      </text>
    </comment>
  </commentList>
</comments>
</file>

<file path=xl/sharedStrings.xml><?xml version="1.0" encoding="utf-8"?>
<sst xmlns="http://schemas.openxmlformats.org/spreadsheetml/2006/main" count="3857" uniqueCount="561">
  <si>
    <t>Skupina ploch</t>
  </si>
  <si>
    <t>Plocha</t>
  </si>
  <si>
    <t>Číslo</t>
  </si>
  <si>
    <t>Taxon lat.</t>
  </si>
  <si>
    <t>Taxon čes.</t>
  </si>
  <si>
    <t>DBH1</t>
  </si>
  <si>
    <t>Výška</t>
  </si>
  <si>
    <t>Průměr koruny</t>
  </si>
  <si>
    <t>Poznámka</t>
  </si>
  <si>
    <t>Technologie</t>
  </si>
  <si>
    <t>Poznámka k práci</t>
  </si>
  <si>
    <t>URL</t>
  </si>
  <si>
    <t>Odkaz na Mapy.cz</t>
  </si>
  <si>
    <t>TŘINEC - STROMY</t>
  </si>
  <si>
    <t>Autobusové nádraží</t>
  </si>
  <si>
    <t>Betula papyrifera</t>
  </si>
  <si>
    <t>bříza papírová</t>
  </si>
  <si>
    <t>8</t>
  </si>
  <si>
    <t>5,0</t>
  </si>
  <si>
    <t>1,0</t>
  </si>
  <si>
    <t>3</t>
  </si>
  <si>
    <t>2</t>
  </si>
  <si>
    <t>1</t>
  </si>
  <si>
    <t>Řez výchovný</t>
  </si>
  <si>
    <t>URS 184852322</t>
  </si>
  <si>
    <t>6</t>
  </si>
  <si>
    <t>4,0</t>
  </si>
  <si>
    <t>5</t>
  </si>
  <si>
    <t>Beskydská</t>
  </si>
  <si>
    <t>Tilia platyphyllos</t>
  </si>
  <si>
    <t>lípa velkolistá</t>
  </si>
  <si>
    <t>34</t>
  </si>
  <si>
    <t>13,0</t>
  </si>
  <si>
    <t>2,0</t>
  </si>
  <si>
    <t>7</t>
  </si>
  <si>
    <t>Defektní větvení. Tlaková vidlice vyvíjející se.</t>
  </si>
  <si>
    <t>Úprava průjezdného či průchozího profilu</t>
  </si>
  <si>
    <t>URS 184852136</t>
  </si>
  <si>
    <t>Řez zdravotní</t>
  </si>
  <si>
    <t>Potlačit tlakové větvení.
URS 184852236</t>
  </si>
  <si>
    <t>Tilia cordata</t>
  </si>
  <si>
    <t>lípa malolistá</t>
  </si>
  <si>
    <t>36</t>
  </si>
  <si>
    <t>14,0</t>
  </si>
  <si>
    <t>Tlaková vidlice vyvíjející se. Poškození kořenů.</t>
  </si>
  <si>
    <t>Tlaková vidlice v kosterním větvení.</t>
  </si>
  <si>
    <t>URS 184852135</t>
  </si>
  <si>
    <t>Potlačit tlakové větvení.
URS 184852235</t>
  </si>
  <si>
    <t>37</t>
  </si>
  <si>
    <t>16,0</t>
  </si>
  <si>
    <t>4</t>
  </si>
  <si>
    <t>Tlaková vidlice v kosterním větvení. Infekce kmene.</t>
  </si>
  <si>
    <t>Potlačit tlakové větvení.
URS 184852237</t>
  </si>
  <si>
    <t>URS 184852137</t>
  </si>
  <si>
    <t>Larix decidua</t>
  </si>
  <si>
    <t>modřín opadavý</t>
  </si>
  <si>
    <t>30</t>
  </si>
  <si>
    <t>23,0</t>
  </si>
  <si>
    <t>3,0</t>
  </si>
  <si>
    <t>Poškození kořenů.</t>
  </si>
  <si>
    <t>URS 184852139</t>
  </si>
  <si>
    <t>38</t>
  </si>
  <si>
    <t>19,0</t>
  </si>
  <si>
    <t>Beskydská - Koperníkova</t>
  </si>
  <si>
    <t>40</t>
  </si>
  <si>
    <t>9</t>
  </si>
  <si>
    <t>Tlaková vidlice v koruně. Poškození kořenů. Odstranit jmelí/ochmet.</t>
  </si>
  <si>
    <t>URS 184852238</t>
  </si>
  <si>
    <t>41</t>
  </si>
  <si>
    <t>12,0</t>
  </si>
  <si>
    <t>Sekundární koruna.</t>
  </si>
  <si>
    <t>Lokální redukce z důvodu stabilizace</t>
  </si>
  <si>
    <t>Potlačit tlakové větvení.
URS 184852136</t>
  </si>
  <si>
    <t>URS 184852236</t>
  </si>
  <si>
    <t>43</t>
  </si>
  <si>
    <t>Tlaková vidlice vyvíjející se.</t>
  </si>
  <si>
    <t>Acer pseudoplatanus</t>
  </si>
  <si>
    <t>javor horský</t>
  </si>
  <si>
    <t>53</t>
  </si>
  <si>
    <t>22,0</t>
  </si>
  <si>
    <t>14</t>
  </si>
  <si>
    <t>Škrtící kořen. Defektní větvení. Zavěšená větev v koruně.</t>
  </si>
  <si>
    <t>URS 184852243</t>
  </si>
  <si>
    <t>Picea abies</t>
  </si>
  <si>
    <t>smrk ztepilý</t>
  </si>
  <si>
    <t>46</t>
  </si>
  <si>
    <t>21,0</t>
  </si>
  <si>
    <t>10</t>
  </si>
  <si>
    <t>Poškození kořenů. Konflikt s okolními strukturami.</t>
  </si>
  <si>
    <t>Lokální redukce směrem k překážce</t>
  </si>
  <si>
    <t>Redukce ve směru objektu.
URS 184852140</t>
  </si>
  <si>
    <t>Betula pendula</t>
  </si>
  <si>
    <t>bříza bělokorá</t>
  </si>
  <si>
    <t>25,0</t>
  </si>
  <si>
    <t>Tlaková vidlice v koruně.</t>
  </si>
  <si>
    <t>Potlačit tlakové větvení.
URS 184852140</t>
  </si>
  <si>
    <t>35</t>
  </si>
  <si>
    <t>18,0</t>
  </si>
  <si>
    <t>60</t>
  </si>
  <si>
    <t>11</t>
  </si>
  <si>
    <t>Tlaková vidlice. V koruně již instalována bezpečnostní vazba.</t>
  </si>
  <si>
    <t>URS 184852141</t>
  </si>
  <si>
    <t>Potlačit tlakové větvení.
URS 184852241</t>
  </si>
  <si>
    <t>Detailní revize již instalované vazby s využitím lezecké techniky</t>
  </si>
  <si>
    <t>Vytvořeno automaticky při vytvoření záznamu o bezpečnostní vazbě.
odborny odhad</t>
  </si>
  <si>
    <t>50</t>
  </si>
  <si>
    <t>20,0</t>
  </si>
  <si>
    <t>Tlaková vidlice. V koruně již instalována bezpečnostní vazba. Poškození kořenů.</t>
  </si>
  <si>
    <t>URS 184852239</t>
  </si>
  <si>
    <t>Amelanchier arborea ‘Robin Hill’</t>
  </si>
  <si>
    <t>muchovník stromový ‘Robin Hill’</t>
  </si>
  <si>
    <t>7,0</t>
  </si>
  <si>
    <t>Odstranění výmladků</t>
  </si>
  <si>
    <t>URS 111 21-1121</t>
  </si>
  <si>
    <t>URS 184852233</t>
  </si>
  <si>
    <t>Quercus robur</t>
  </si>
  <si>
    <t>dub letní</t>
  </si>
  <si>
    <t>6,0</t>
  </si>
  <si>
    <t>URS 184852323</t>
  </si>
  <si>
    <t>31</t>
  </si>
  <si>
    <t>Tlaková vidlice vyvíjející se. Nakloněný kmen.</t>
  </si>
  <si>
    <t>Cerasus avium</t>
  </si>
  <si>
    <t>třešeň ptačí</t>
  </si>
  <si>
    <t>Carpinus betulus</t>
  </si>
  <si>
    <t>habr obecný</t>
  </si>
  <si>
    <t>URS 184852321</t>
  </si>
  <si>
    <t>Boženy Němcové - potok</t>
  </si>
  <si>
    <t>55</t>
  </si>
  <si>
    <t>Zavěšená větev - vrchol v koruně.</t>
  </si>
  <si>
    <t>Řez bezpečnostní</t>
  </si>
  <si>
    <t>Quercus palustris</t>
  </si>
  <si>
    <t>dub bažinný</t>
  </si>
  <si>
    <t>9,0</t>
  </si>
  <si>
    <t>Robinia pseudoacacia</t>
  </si>
  <si>
    <t>trnovník bílý</t>
  </si>
  <si>
    <t>15</t>
  </si>
  <si>
    <t>Cerasus avium ‘Plena’</t>
  </si>
  <si>
    <t>třešeň ptačí ‘Plena’</t>
  </si>
  <si>
    <t>B. Němcové - u školy</t>
  </si>
  <si>
    <t>URS 184 85-2312
URS 184852322</t>
  </si>
  <si>
    <t>Dolní Lištná - sídliště</t>
  </si>
  <si>
    <t>24</t>
  </si>
  <si>
    <t>URS 184852235</t>
  </si>
  <si>
    <t>Acer saccharinum ‘Wierii’</t>
  </si>
  <si>
    <t>javor stříbrný ‘Wierii’</t>
  </si>
  <si>
    <t>23</t>
  </si>
  <si>
    <t>Výsadba XI/2009 - Klusová. Odstranit jmelí/ochmet.</t>
  </si>
  <si>
    <t>Salix matsudana ‘Tortuosa’</t>
  </si>
  <si>
    <t>vrba Matsudova ‘Tortuosa’</t>
  </si>
  <si>
    <t>Redukce ve směru objektu.
URS 184852133</t>
  </si>
  <si>
    <t>Salix x erythroflexuosa</t>
  </si>
  <si>
    <t>vrba argentinská</t>
  </si>
  <si>
    <t>16</t>
  </si>
  <si>
    <t>Juglans regia</t>
  </si>
  <si>
    <t>ořešák královský</t>
  </si>
  <si>
    <t>Aesculus hippocastanum</t>
  </si>
  <si>
    <t>jírovec maďal</t>
  </si>
  <si>
    <t>Dukelská</t>
  </si>
  <si>
    <t>Potlačit tlakové větvení.
URS 184852137</t>
  </si>
  <si>
    <t>URS 184852237</t>
  </si>
  <si>
    <t>Acer negundo</t>
  </si>
  <si>
    <t>javor jasanolistý</t>
  </si>
  <si>
    <t>44</t>
  </si>
  <si>
    <t>Velké řezné rány.</t>
  </si>
  <si>
    <t>URS 184852140</t>
  </si>
  <si>
    <t>Dukelská - E75</t>
  </si>
  <si>
    <t>Alnus incana</t>
  </si>
  <si>
    <t>olše šedá</t>
  </si>
  <si>
    <t>27</t>
  </si>
  <si>
    <t>Odlehčit větve nad komunikací či chodníkem.
URS 184852137</t>
  </si>
  <si>
    <t>Dukelská - Krátká</t>
  </si>
  <si>
    <t>47</t>
  </si>
  <si>
    <t>Konflikt s okolními strukturami.</t>
  </si>
  <si>
    <t>Redukce ve směru objektu.
URS 184852139</t>
  </si>
  <si>
    <t>Dukelská - Seifertova</t>
  </si>
  <si>
    <t>Acer platanoides</t>
  </si>
  <si>
    <t>javor mléčný</t>
  </si>
  <si>
    <t>39</t>
  </si>
  <si>
    <t>17,0</t>
  </si>
  <si>
    <t>Redukce ve směru objektu.
URS 184852138</t>
  </si>
  <si>
    <t>Tilia x vulgaris</t>
  </si>
  <si>
    <t>lípa obecná</t>
  </si>
  <si>
    <t>15,0</t>
  </si>
  <si>
    <t>Potlačit slabší větev vyvíjející se tlakové vidlice. Konflikt s okolními strukturami.</t>
  </si>
  <si>
    <t>Potlačit tlakové větvení.
URS 184852238</t>
  </si>
  <si>
    <t>Chamaecyparis pisifera ‘Plumosa Aurea’</t>
  </si>
  <si>
    <t>cypřišek hrachonosný ‘Plumosa Aurea’</t>
  </si>
  <si>
    <t>Infekce kmene. Odstranit popínavku. Konflikt s okolními strukturami.</t>
  </si>
  <si>
    <t>Picea omorika</t>
  </si>
  <si>
    <t>smrk omorika</t>
  </si>
  <si>
    <t>Tlaková vidlice od báze. Odstranit popínavku.</t>
  </si>
  <si>
    <t>Potlačit slabší kmen.
URS 184852134</t>
  </si>
  <si>
    <t>Dukelská - východní strana I</t>
  </si>
  <si>
    <t>26,0</t>
  </si>
  <si>
    <t>Asymetrická koruna. Odstranit jmelí/ochmet.</t>
  </si>
  <si>
    <t>URS 184852242</t>
  </si>
  <si>
    <t>Tlaková vidlice vyvíjející se. Infekce báze kmene. Podezření na infekci kořenů.</t>
  </si>
  <si>
    <t>Redukce obvodová</t>
  </si>
  <si>
    <t>20 procent.
URS 184852441</t>
  </si>
  <si>
    <t>Dukelská - východní strana II</t>
  </si>
  <si>
    <t>42</t>
  </si>
  <si>
    <t>Pokroucený kmen. Nakloněný kmen.</t>
  </si>
  <si>
    <t>URS 184852138</t>
  </si>
  <si>
    <t>Poškození kmene. Konflikt s okolními strukturami.</t>
  </si>
  <si>
    <t>Folwark - nový - okolí</t>
  </si>
  <si>
    <t>Folwark - starý (stromy v okolí)</t>
  </si>
  <si>
    <t>21</t>
  </si>
  <si>
    <t>Trhliny.</t>
  </si>
  <si>
    <t>Potlačený jedinec. Uvolnit. Odstranit popínavku.</t>
  </si>
  <si>
    <t>Frýdecká</t>
  </si>
  <si>
    <t>65</t>
  </si>
  <si>
    <t>Fraxinus excelsior</t>
  </si>
  <si>
    <t>jasan ztepilý</t>
  </si>
  <si>
    <t>8,0</t>
  </si>
  <si>
    <t>Infekce báze kmene.</t>
  </si>
  <si>
    <t>Fraxinus angustifolia ‘Raywood’</t>
  </si>
  <si>
    <t>jasan úzkolistý ‘Raywood’</t>
  </si>
  <si>
    <t>garážoviště za tratí - u Beránka</t>
  </si>
  <si>
    <t>Populus simonii</t>
  </si>
  <si>
    <t>topol Simonův</t>
  </si>
  <si>
    <t>48</t>
  </si>
  <si>
    <t>Populus alba ‘Pyramidalis’</t>
  </si>
  <si>
    <t>topol bílý ‘Pyramidalis’</t>
  </si>
  <si>
    <t>'Boleana'
Vysazen XI/2009 - SZK. Dynamicky prosychá.</t>
  </si>
  <si>
    <t>Výsadba XI/2009 - Klusová.
'Boleana' Dynamicky prosychá.</t>
  </si>
  <si>
    <t>29</t>
  </si>
  <si>
    <t>Výsadba XI/2009 - Klusová.
'Boleana' Infekce báze kmene. Dynamicky prosychá.</t>
  </si>
  <si>
    <t>19</t>
  </si>
  <si>
    <t>Odstranit chmel.</t>
  </si>
  <si>
    <t>URS 184852234</t>
  </si>
  <si>
    <t>20</t>
  </si>
  <si>
    <t>10,0</t>
  </si>
  <si>
    <t>Hřiště V. čtvrť</t>
  </si>
  <si>
    <t>Platanus x hispanica ‘Pyramidalis’</t>
  </si>
  <si>
    <t>platan javorolistý ‘Pyramidalis’</t>
  </si>
  <si>
    <t>Chopinova</t>
  </si>
  <si>
    <t>Korunu tvoří velké sekundární výhony. Poškození kořenů. Dynamicky prosychá.</t>
  </si>
  <si>
    <t>URS 184852142</t>
  </si>
  <si>
    <t>IVC</t>
  </si>
  <si>
    <t>Pinus nigra</t>
  </si>
  <si>
    <t>borovice černá</t>
  </si>
  <si>
    <t>Acer saccharinum</t>
  </si>
  <si>
    <t>javor stříbrný</t>
  </si>
  <si>
    <t>22</t>
  </si>
  <si>
    <t>Quercus rubra</t>
  </si>
  <si>
    <t>dub červený</t>
  </si>
  <si>
    <t>Acer  sp.</t>
  </si>
  <si>
    <t>javor</t>
  </si>
  <si>
    <t>Malus  sp.</t>
  </si>
  <si>
    <t>jabloň</t>
  </si>
  <si>
    <t>Odstranit jmelí/ochmet.</t>
  </si>
  <si>
    <t>Acer platanoides cv.</t>
  </si>
  <si>
    <t>javor mléčný cv.</t>
  </si>
  <si>
    <t>12</t>
  </si>
  <si>
    <t>Ulmus laevis</t>
  </si>
  <si>
    <t>jilm vaz</t>
  </si>
  <si>
    <t>75</t>
  </si>
  <si>
    <t>Infekce větví.</t>
  </si>
  <si>
    <t>Odlehčení nestabilních větví.
URS 184852143</t>
  </si>
  <si>
    <t>URS 184852143</t>
  </si>
  <si>
    <t>Jablunkovská</t>
  </si>
  <si>
    <t>125</t>
  </si>
  <si>
    <t>17</t>
  </si>
  <si>
    <t>Infekce báze kmene, trhlina kmene - udržovat redukovaný stav koruny, sledovat. Infekce větví.</t>
  </si>
  <si>
    <t>Instalace dynamické vazby v horní úrovni</t>
  </si>
  <si>
    <t>Jedno lano.
odborny odhad</t>
  </si>
  <si>
    <t>Odlehčení nestabilních větví.
URS 184852144</t>
  </si>
  <si>
    <t>URS 184852144</t>
  </si>
  <si>
    <t>Instalace statické vazby v dolní úrovni</t>
  </si>
  <si>
    <t>10%
URS 184852444</t>
  </si>
  <si>
    <t>77</t>
  </si>
  <si>
    <t>Prasklé tlakové větvení - zajištěné statickou a dynamickou vazbou.</t>
  </si>
  <si>
    <t>Created automatically by creating a cabling system record.
odborny odhad</t>
  </si>
  <si>
    <t>Potlačit tlakové větvení.
URS 184852239</t>
  </si>
  <si>
    <t>Acer campestre</t>
  </si>
  <si>
    <t>javor polní</t>
  </si>
  <si>
    <t>Jablunkovská - parčík u MÚ</t>
  </si>
  <si>
    <t>Prunus insititia</t>
  </si>
  <si>
    <t>slivoň obecná</t>
  </si>
  <si>
    <t>Není možné prozkoumat bázi kmene - břečťan. Defektní větvení. Konflikt s okolními strukturami.</t>
  </si>
  <si>
    <t>Redukce ve směru objektu.
URS 184852137</t>
  </si>
  <si>
    <t>Redukce (podříznutí) lián vrůstajících do korun hostitelských stromů</t>
  </si>
  <si>
    <t>URS 184 85-2215
URS 184852237</t>
  </si>
  <si>
    <t>Cerasus serrulata ‘Schmitii’</t>
  </si>
  <si>
    <t>třešeň pilovitá ‘Schmitii’</t>
  </si>
  <si>
    <t>URS 184 85-2313
URS 184852323</t>
  </si>
  <si>
    <t>Jablunkovská - u pomníku</t>
  </si>
  <si>
    <t>Cerasus  sp.</t>
  </si>
  <si>
    <t>třešeň</t>
  </si>
  <si>
    <t>Janáčkova</t>
  </si>
  <si>
    <t>Koruna tvořena velkými sekundárními výhony - v minulosti sesazena. Poškození kořenů.</t>
  </si>
  <si>
    <t>Janáčkova - Boženy Němcové</t>
  </si>
  <si>
    <t>51</t>
  </si>
  <si>
    <t>Poškození kořenů. Poškozuje chodník.</t>
  </si>
  <si>
    <t>32</t>
  </si>
  <si>
    <t>Jeřabinová</t>
  </si>
  <si>
    <t>Sorbus intermedia</t>
  </si>
  <si>
    <t>jeřáb prostřední</t>
  </si>
  <si>
    <t>Sorbus x thuringiaca</t>
  </si>
  <si>
    <t>jeřáb duryňský</t>
  </si>
  <si>
    <t>kpt. Nálepky</t>
  </si>
  <si>
    <t>Gleditsia triacanthos ‘Sunburst’</t>
  </si>
  <si>
    <t>dřezovec trojtrnný ‘Sunburst’</t>
  </si>
  <si>
    <t>Výsadba XI/2009 - Klusová.</t>
  </si>
  <si>
    <t>URS 184852134</t>
  </si>
  <si>
    <t>Kino - Kosmos</t>
  </si>
  <si>
    <t>Nakloněný kmen.</t>
  </si>
  <si>
    <t>Komenského - sídliště - levá strana</t>
  </si>
  <si>
    <t>Sorbus aucuparia</t>
  </si>
  <si>
    <t>jeřáb ptačí</t>
  </si>
  <si>
    <t>Koperníkova</t>
  </si>
  <si>
    <t>Strom v minulosti sesazen, nyní jeho korunu tvoří velké sekundární výhony.</t>
  </si>
  <si>
    <t>Potlačit tlakové větvení.
URS 184852138</t>
  </si>
  <si>
    <t>Poškozené kořeny.</t>
  </si>
  <si>
    <t>Podezření na infekci kořenů.</t>
  </si>
  <si>
    <t>Koperníkova - kpt.Nálepky</t>
  </si>
  <si>
    <t>52</t>
  </si>
  <si>
    <t>Redukce ve směru objektu.
URS 184852142</t>
  </si>
  <si>
    <t>Cerasus serrulata ‘Subhirtella Pendula’</t>
  </si>
  <si>
    <t>třešeň pilovitá ‘Subhirtella Pendula’</t>
  </si>
  <si>
    <t>Odstranit divoký výhon.</t>
  </si>
  <si>
    <t>Redukce ve směru objektu.
URS 184852134</t>
  </si>
  <si>
    <t>Abies concolor</t>
  </si>
  <si>
    <t>jedle ojíněná</t>
  </si>
  <si>
    <t>61</t>
  </si>
  <si>
    <t>Acer campestre ‘Elsrijk’</t>
  </si>
  <si>
    <t>javor polní ‘Elsrijk’</t>
  </si>
  <si>
    <t>11,0</t>
  </si>
  <si>
    <t>Redukce ve směru objektu.
URS 184852135</t>
  </si>
  <si>
    <t>Acer platanoides ‘Deborah’</t>
  </si>
  <si>
    <t>javor mléčný ‘Deborah’</t>
  </si>
  <si>
    <t>Výsadba XI/2009 - Klusová. Trhliny.</t>
  </si>
  <si>
    <t>Magnolia kobus</t>
  </si>
  <si>
    <t>magnolie japonská</t>
  </si>
  <si>
    <t>Prunus cerasifera ‘Nigra’</t>
  </si>
  <si>
    <t>slivoň třešňová ‘Nigra’</t>
  </si>
  <si>
    <t>Fagus sylvatica</t>
  </si>
  <si>
    <t>buk lesní</t>
  </si>
  <si>
    <t>Koperníkova - Tyršova</t>
  </si>
  <si>
    <t>Alnus glutinosa</t>
  </si>
  <si>
    <t>olše lepkavá</t>
  </si>
  <si>
    <t>24,0</t>
  </si>
  <si>
    <t>Dvojkmen od báze.</t>
  </si>
  <si>
    <t>54</t>
  </si>
  <si>
    <t>Vysoko položené těžiště. Infekce kmene. Nakloněný kmen. Konflikt s okolními strukturami.</t>
  </si>
  <si>
    <t>Poškození kořenů. Infekce kosterního větvení. Infekce větví. Dynamicky prosychá.</t>
  </si>
  <si>
    <t>Picea pungens</t>
  </si>
  <si>
    <t>smrk pichlavý</t>
  </si>
  <si>
    <t>Lánská - parčík</t>
  </si>
  <si>
    <t>Fraxinus pennsylvanica</t>
  </si>
  <si>
    <t>jasan pensylvánský</t>
  </si>
  <si>
    <t>Lesní - Bezručova</t>
  </si>
  <si>
    <t>Veřejná technická infrastruktura (VTI) v koruně. Vrchol odstraněn či odlomen.</t>
  </si>
  <si>
    <t>Redukce ve směru k nadzemnímu vedení.
URS 184852134</t>
  </si>
  <si>
    <t>Lidická</t>
  </si>
  <si>
    <t>Corylus colurna</t>
  </si>
  <si>
    <t>líska turecká</t>
  </si>
  <si>
    <t>Salix alba</t>
  </si>
  <si>
    <t>vrba bílá</t>
  </si>
  <si>
    <t>13</t>
  </si>
  <si>
    <t>66</t>
  </si>
  <si>
    <t>27,0</t>
  </si>
  <si>
    <t>Lidická - Tyršova</t>
  </si>
  <si>
    <t>Potlačit tlakové větvení.
URS 184852135</t>
  </si>
  <si>
    <t>Prunus domestica</t>
  </si>
  <si>
    <t>slivoň domácí</t>
  </si>
  <si>
    <t>62</t>
  </si>
  <si>
    <t>33</t>
  </si>
  <si>
    <t>Infekce báze kmene. Zlomy kosterních větví. Sekundární koruna.</t>
  </si>
  <si>
    <t>28</t>
  </si>
  <si>
    <t xml:space="preserve">Nálet. Potlačený. </t>
  </si>
  <si>
    <t>Podpořit hlavní vrchol.
URS 184852235</t>
  </si>
  <si>
    <t>Lidická - u čerpací stanice</t>
  </si>
  <si>
    <t>Tilia x euchlora</t>
  </si>
  <si>
    <t>lípa zelená</t>
  </si>
  <si>
    <t>mezi Beskydskou a Koperníkovou (souběžně)</t>
  </si>
  <si>
    <t>Náměstí Svobody I</t>
  </si>
  <si>
    <t>Náměstí Svobody II</t>
  </si>
  <si>
    <t>Robinia pseudoacacia ‘Unifolia’</t>
  </si>
  <si>
    <t>trnovník bílý ‘Unifolia’</t>
  </si>
  <si>
    <t>Okolí STARS</t>
  </si>
  <si>
    <t>Betula pendula ‘Fastigiata’</t>
  </si>
  <si>
    <t>bříza bělokorá ‘Fastigiata’</t>
  </si>
  <si>
    <t>Okružní</t>
  </si>
  <si>
    <t>45</t>
  </si>
  <si>
    <t>park Kanada</t>
  </si>
  <si>
    <t>73</t>
  </si>
  <si>
    <t>Poškození báze kmene. Tlaková vidlice v kosterním větvení. Podezření na infekci kořenů. Trhliny.</t>
  </si>
  <si>
    <t>Tři lana.
odborny odhad</t>
  </si>
  <si>
    <t>URS 184852241</t>
  </si>
  <si>
    <t>Tlaková vidlice od báze vyvíjející se. Infekce báze kmene. Dynamicky prosychá. Silné suché větve v koruně.</t>
  </si>
  <si>
    <t>park u hvězdárny</t>
  </si>
  <si>
    <t>Tilia tomentosa</t>
  </si>
  <si>
    <t>lípa stříbrná</t>
  </si>
  <si>
    <t>107</t>
  </si>
  <si>
    <t>V koruně instalovány bezpečnostní vazba - 2 úrovně. Tlaková vidlice s trhlinou. Infekce kosterního větvení. Odstranit jmelí/ochmet.</t>
  </si>
  <si>
    <t>Palackého</t>
  </si>
  <si>
    <t>Potlačit slabší větev vyvíjející se tlakové vidlice.</t>
  </si>
  <si>
    <t>Uvolnění sousedního stromu.
URS 184852139</t>
  </si>
  <si>
    <t xml:space="preserve">Náhradní vrchol. </t>
  </si>
  <si>
    <t>Infekce báze kmene. Poškození báze kmene.</t>
  </si>
  <si>
    <t>Poškození kmene.</t>
  </si>
  <si>
    <t>Palackého strouha - vpravo</t>
  </si>
  <si>
    <t>Potlačit tlakové větvení.
URS 184852139</t>
  </si>
  <si>
    <t>Zcela odumřelý.</t>
  </si>
  <si>
    <t>Palackého - sídliště</t>
  </si>
  <si>
    <t>Trhliny. Asymetrická koruna.</t>
  </si>
  <si>
    <t>Odlehčení nestabilních větví.
URS 184852137</t>
  </si>
  <si>
    <t>Podlesí - parčík</t>
  </si>
  <si>
    <t>Promenádní chodník</t>
  </si>
  <si>
    <t>Tlaková vidlice v koruně. Infekce kmene. Trhliny. Dutina ve kmeni. Zavěšená větev v koruně.</t>
  </si>
  <si>
    <t>20 procent.
URS 184852437</t>
  </si>
  <si>
    <t>Infekce kmene. Nakloněný kmen.</t>
  </si>
  <si>
    <t>Přístrojový test stromu</t>
  </si>
  <si>
    <t>Tahové zkoušky.
odborný odhad</t>
  </si>
  <si>
    <t>Nakloněný kmen. Nálet. Infekce kmene. Infekce kosterního větvení.</t>
  </si>
  <si>
    <t>Přátelství</t>
  </si>
  <si>
    <t>26</t>
  </si>
  <si>
    <t>URS 184 85-2112 Potlačit tlakové větvení.
URS 184852134</t>
  </si>
  <si>
    <t>sídl. Erbenova</t>
  </si>
  <si>
    <t>Potlačený jedinec.</t>
  </si>
  <si>
    <t>Potlačit sekundární terminál.</t>
  </si>
  <si>
    <t>Potlačit slabší kmen.</t>
  </si>
  <si>
    <t>Potlačit slabší kmen.
URS 184852238</t>
  </si>
  <si>
    <t>Odstranit popínavku.</t>
  </si>
  <si>
    <t>Ginkgo biloba ‘Fastigiata’</t>
  </si>
  <si>
    <t>jinan dvoulaločný ‘Fastigiata’</t>
  </si>
  <si>
    <t>Acer platanoides ‘Royal Red’</t>
  </si>
  <si>
    <t>javor mléčný ‘Royal Red’</t>
  </si>
  <si>
    <t>Poškození báze kmene.</t>
  </si>
  <si>
    <t>Odstranění/oprava kotvení mladého stromu</t>
  </si>
  <si>
    <t>URS 184 80-1121</t>
  </si>
  <si>
    <t>Seifertova</t>
  </si>
  <si>
    <t>Seifertova - Lidická</t>
  </si>
  <si>
    <t>Tlaková vidlice v kosterním větvení. Poškození kořenů.</t>
  </si>
  <si>
    <t>Crataegus x prunifolia ‘Splendens’</t>
  </si>
  <si>
    <t>hloh slívolistý ‘Splendens’</t>
  </si>
  <si>
    <t>Prunus  sp.</t>
  </si>
  <si>
    <t>slivoň</t>
  </si>
  <si>
    <t>Cerasus sargentii ‘Rancho’</t>
  </si>
  <si>
    <t>trešen Sargentova ‘Rancho’</t>
  </si>
  <si>
    <t>Silnice za nádražím</t>
  </si>
  <si>
    <t>Slezská</t>
  </si>
  <si>
    <t>Slezská - Horní</t>
  </si>
  <si>
    <t>Slezská - Koperníkova</t>
  </si>
  <si>
    <t>Salix fragilis</t>
  </si>
  <si>
    <t>vrba křehká</t>
  </si>
  <si>
    <t>Vysoké těžiště.</t>
  </si>
  <si>
    <t>Odlehčení nestabilních větví.
URS 184852139</t>
  </si>
  <si>
    <t>URS 184852240</t>
  </si>
  <si>
    <t>28,0</t>
  </si>
  <si>
    <t>Zavěšená větev v koruně.</t>
  </si>
  <si>
    <t>Salix x sepulcralis</t>
  </si>
  <si>
    <t>vrba náhrobní</t>
  </si>
  <si>
    <t>98</t>
  </si>
  <si>
    <t>Infekce větví. Sesazený. Poškození kořenů.</t>
  </si>
  <si>
    <t>Odlehčit větve nad komunikací či chodníkem.
URS 184852147</t>
  </si>
  <si>
    <t>URS 184852147</t>
  </si>
  <si>
    <t>Fraxinus excelsior ‘Pendula’</t>
  </si>
  <si>
    <t>jasan ztepilý ‘Pendula’</t>
  </si>
  <si>
    <t>SNP - Chopinova</t>
  </si>
  <si>
    <t>Starý bazén</t>
  </si>
  <si>
    <t>Těšínská x Nádražní</t>
  </si>
  <si>
    <t>Třanovského II</t>
  </si>
  <si>
    <t>18</t>
  </si>
  <si>
    <t>Potlačit tlakové větvení.
URS 184852133</t>
  </si>
  <si>
    <t>Tyršova</t>
  </si>
  <si>
    <t>Konflikt s okolními strukturami. Veřejná technická infrastruktura (VTI) v koruně.</t>
  </si>
  <si>
    <t>25</t>
  </si>
  <si>
    <t>Vícekmen od báze. Tlaková vidlice od báze vyvíjející se.</t>
  </si>
  <si>
    <t>Potlačit slabší kmen.
URS 184852138</t>
  </si>
  <si>
    <t>Tyršova - u bazénu</t>
  </si>
  <si>
    <t>Cerasus sargentii</t>
  </si>
  <si>
    <t>trešen Sargentova</t>
  </si>
  <si>
    <t>Tyršova - u stadionu</t>
  </si>
  <si>
    <t>Cerasus serrulata ‘Kanzan’</t>
  </si>
  <si>
    <t>třešeň pilovitá ‘Kanzan’</t>
  </si>
  <si>
    <t>T.G.Masaryka - SNP</t>
  </si>
  <si>
    <t>Pinus sylvestris</t>
  </si>
  <si>
    <t>borovice lesní</t>
  </si>
  <si>
    <t>Defektní větvení. Infekce kmene.</t>
  </si>
  <si>
    <t>Odlehčení nestabilních větví.
URS 184852135</t>
  </si>
  <si>
    <t>Konská - extravilán</t>
  </si>
  <si>
    <t>Alej k Neborance - VN</t>
  </si>
  <si>
    <t>Kojkovice - extravilán</t>
  </si>
  <si>
    <t>Alej Kojkovice</t>
  </si>
  <si>
    <t>79</t>
  </si>
  <si>
    <t>URS 184 85-2222
URS 184852243</t>
  </si>
  <si>
    <t>Tilia  sp.</t>
  </si>
  <si>
    <t>lípa</t>
  </si>
  <si>
    <t>Dolní Líštná - extravilán</t>
  </si>
  <si>
    <t>Alej Staviska</t>
  </si>
  <si>
    <t>Cerasus humilis</t>
  </si>
  <si>
    <t>třešeň nízká</t>
  </si>
  <si>
    <t>Horní Líštná - extravilán</t>
  </si>
  <si>
    <t>k.ú. Horní Líštná</t>
  </si>
  <si>
    <t>URS 184852133</t>
  </si>
  <si>
    <t>Ponechat jen jeden kmen.
URS 184852233</t>
  </si>
  <si>
    <t>Odstranit jmelí/ochmet. Tlaková vidlice vyvíjející se.</t>
  </si>
  <si>
    <t>Potlačit tlakové větvení.
URS 184852234</t>
  </si>
  <si>
    <t>k.ú. Kojkovice u Třince</t>
  </si>
  <si>
    <t>78</t>
  </si>
  <si>
    <t>Defektní větvení. Tlaková vidlice v kosterním větvení.</t>
  </si>
  <si>
    <t>Dvě lana.
odborny odhad</t>
  </si>
  <si>
    <t>Potlačit tlakové větvení.
URS 184852245</t>
  </si>
  <si>
    <t>k.ú. Konská - sever</t>
  </si>
  <si>
    <t>Nevhodná struktura větvení.</t>
  </si>
  <si>
    <t>Kojkovice - cesta - VN</t>
  </si>
  <si>
    <t>Nebory - extravilán</t>
  </si>
  <si>
    <t>Mapec - VN</t>
  </si>
  <si>
    <t>Sorbus aria ‘Magnifica’</t>
  </si>
  <si>
    <t>jeřáb muk ‘Magnifica’</t>
  </si>
  <si>
    <t>Redukce ve směru k nadzemnímu vedení.
URS 184852133</t>
  </si>
  <si>
    <t>Podlesí - extravilán</t>
  </si>
  <si>
    <t>Podlesí - alej</t>
  </si>
  <si>
    <t>Populus x canadensis</t>
  </si>
  <si>
    <t>topol kanadský</t>
  </si>
  <si>
    <t>69</t>
  </si>
  <si>
    <t>56</t>
  </si>
  <si>
    <t>Silné suché větve v koruně.</t>
  </si>
  <si>
    <t>57</t>
  </si>
  <si>
    <t>Poškození kořenů. Velké řezné rány. Nakloněný kmen.</t>
  </si>
  <si>
    <t>Oldřichovice - extravilán</t>
  </si>
  <si>
    <t>remíz</t>
  </si>
  <si>
    <t>Suchý vrchol.</t>
  </si>
  <si>
    <t>Karpentná - extravilán</t>
  </si>
  <si>
    <t>U MŠ Rozárka</t>
  </si>
  <si>
    <t>1-3. Dolní Lištná</t>
  </si>
  <si>
    <t>1b. Folwark - starý (stromy)</t>
  </si>
  <si>
    <t>Výsadba XI/2007 - Šimková. Poškození kmene.</t>
  </si>
  <si>
    <t>Uvolnit.</t>
  </si>
  <si>
    <t>10. Guty</t>
  </si>
  <si>
    <t>10b. Guty (stromy)</t>
  </si>
  <si>
    <t>Asymetrická koruna. Infekce báze kmene. Jeden kmen odříznut.</t>
  </si>
  <si>
    <t>Nevhodné místo.</t>
  </si>
  <si>
    <t>2b. Folwark - nový I (stromy)</t>
  </si>
  <si>
    <t>Cerasus subhirtella ‘Pendula’</t>
  </si>
  <si>
    <t>třešeň chloupkatá ‘Pendula’</t>
  </si>
  <si>
    <t>Výsadba XI/2011 - Vavřík.</t>
  </si>
  <si>
    <t>Výsadba XI/2011 - Šimková.</t>
  </si>
  <si>
    <t>Cerasus serrulata</t>
  </si>
  <si>
    <t>třešeň pilovitá</t>
  </si>
  <si>
    <t>'Schirofugen'</t>
  </si>
  <si>
    <t>3b. Folwark - nový II (stromy)</t>
  </si>
  <si>
    <t>Fagus sylvatica ‘Pendula’</t>
  </si>
  <si>
    <t>buk lesní ‘Pendula’</t>
  </si>
  <si>
    <t>Tsuga canadensis</t>
  </si>
  <si>
    <t>jedlovec kanadský</t>
  </si>
  <si>
    <t>Tlaková vidlice od báze vyvíjející se.</t>
  </si>
  <si>
    <t>Potlačit slabší kmeny.
URS 184852134</t>
  </si>
  <si>
    <t>Fagus sylvatica ‘Purpurea Tricolor’</t>
  </si>
  <si>
    <t>buk lesní ‘Purpurea Tricolor’</t>
  </si>
  <si>
    <t>4. Podlesí</t>
  </si>
  <si>
    <t>4b. Podlesí (stromy)</t>
  </si>
  <si>
    <t>6. Oldřichovice</t>
  </si>
  <si>
    <t>6b. Oldřichovice (stromy)</t>
  </si>
  <si>
    <t>Thuja occidentalis</t>
  </si>
  <si>
    <t>túje západní</t>
  </si>
  <si>
    <t>Odlehčení nestabilních větví.
URS 184852133</t>
  </si>
  <si>
    <t>Odlehčení nestabilních větví.
URS 184852134</t>
  </si>
  <si>
    <t>Cena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</si>
</sst>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textRotation="90"/>
      <protection/>
    </xf>
    <xf numFmtId="0" fontId="1" fillId="33" borderId="10" xfId="0" applyFont="1" applyFill="1" applyBorder="1" applyAlignment="1" applyProtection="1">
      <alignment horizontal="center" textRotation="90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textRotation="90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4" fillId="36" borderId="12" xfId="0" applyFont="1" applyFill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5.00390625" style="10" customWidth="1"/>
    <col min="2" max="2" width="15.28125" style="0" customWidth="1"/>
    <col min="3" max="3" width="12.28125" style="0" customWidth="1"/>
    <col min="4" max="4" width="5.7109375" style="0" customWidth="1"/>
    <col min="5" max="6" width="15.28125" style="0" customWidth="1"/>
    <col min="7" max="8" width="5.140625" style="0" customWidth="1"/>
    <col min="9" max="9" width="4.421875" style="0" customWidth="1"/>
    <col min="10" max="10" width="15.28125" style="0" customWidth="1"/>
    <col min="11" max="12" width="17.8515625" style="0" customWidth="1"/>
    <col min="13" max="13" width="14.57421875" style="0" customWidth="1"/>
    <col min="14" max="14" width="15.57421875" style="0" customWidth="1"/>
    <col min="15" max="15" width="7.00390625" style="0" customWidth="1"/>
  </cols>
  <sheetData>
    <row r="1" spans="2:15" ht="92.25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2" t="s">
        <v>10</v>
      </c>
      <c r="M1" s="12" t="s">
        <v>560</v>
      </c>
      <c r="N1" s="1" t="s">
        <v>11</v>
      </c>
      <c r="O1" s="1" t="s">
        <v>12</v>
      </c>
    </row>
    <row r="2" spans="1:15" ht="120">
      <c r="A2" s="10">
        <v>1</v>
      </c>
      <c r="B2" s="3" t="s">
        <v>13</v>
      </c>
      <c r="C2" s="3" t="s">
        <v>14</v>
      </c>
      <c r="D2" s="4">
        <v>8</v>
      </c>
      <c r="E2" s="5" t="s">
        <v>15</v>
      </c>
      <c r="F2" s="3" t="s">
        <v>16</v>
      </c>
      <c r="G2" s="4" t="s">
        <v>17</v>
      </c>
      <c r="H2" s="4" t="s">
        <v>18</v>
      </c>
      <c r="I2" s="4" t="s">
        <v>20</v>
      </c>
      <c r="J2" s="3"/>
      <c r="K2" s="3" t="s">
        <v>23</v>
      </c>
      <c r="L2" s="4" t="s">
        <v>24</v>
      </c>
      <c r="M2" s="19"/>
      <c r="N2" s="3" t="str">
        <f>HYPERLINK("https://www.stromypodkontrolou.cz/map/tree/eb9fcfc1-f6fa-405f-85c7-690b2fb79ecd/df9c3164-923e-4935-8fab-122d82723388")</f>
        <v>https://www.stromypodkontrolou.cz/map/tree/eb9fcfc1-f6fa-405f-85c7-690b2fb79ecd/df9c3164-923e-4935-8fab-122d82723388</v>
      </c>
      <c r="O2" s="3" t="str">
        <f>HYPERLINK("https://www.mapy.cz?st=search&amp;fr=49.68100547 18.66662383")</f>
        <v>https://www.mapy.cz?st=search&amp;fr=49.68100547 18.66662383</v>
      </c>
    </row>
    <row r="3" spans="1:15" ht="120">
      <c r="A3" s="10">
        <v>2</v>
      </c>
      <c r="B3" s="3" t="s">
        <v>13</v>
      </c>
      <c r="C3" s="3" t="s">
        <v>14</v>
      </c>
      <c r="D3" s="4">
        <v>9</v>
      </c>
      <c r="E3" s="5" t="s">
        <v>15</v>
      </c>
      <c r="F3" s="3" t="s">
        <v>16</v>
      </c>
      <c r="G3" s="4" t="s">
        <v>25</v>
      </c>
      <c r="H3" s="4" t="s">
        <v>26</v>
      </c>
      <c r="I3" s="4" t="s">
        <v>21</v>
      </c>
      <c r="J3" s="3"/>
      <c r="K3" s="3" t="s">
        <v>23</v>
      </c>
      <c r="L3" s="4" t="s">
        <v>24</v>
      </c>
      <c r="M3" s="19"/>
      <c r="N3" s="3" t="str">
        <f>HYPERLINK("https://www.stromypodkontrolou.cz/map/tree/eb9fcfc1-f6fa-405f-85c7-690b2fb79ecd/dd1625a3-c5c2-4a9b-9ecd-3e64df95e344")</f>
        <v>https://www.stromypodkontrolou.cz/map/tree/eb9fcfc1-f6fa-405f-85c7-690b2fb79ecd/dd1625a3-c5c2-4a9b-9ecd-3e64df95e344</v>
      </c>
      <c r="O3" s="3" t="str">
        <f>HYPERLINK("https://www.mapy.cz?st=search&amp;fr=49.68100634 18.66686020")</f>
        <v>https://www.mapy.cz?st=search&amp;fr=49.68100634 18.66686020</v>
      </c>
    </row>
    <row r="4" spans="1:15" ht="120">
      <c r="A4" s="10">
        <v>3</v>
      </c>
      <c r="B4" s="3" t="s">
        <v>13</v>
      </c>
      <c r="C4" s="3" t="s">
        <v>14</v>
      </c>
      <c r="D4" s="4">
        <v>10</v>
      </c>
      <c r="E4" s="5" t="s">
        <v>15</v>
      </c>
      <c r="F4" s="3" t="s">
        <v>16</v>
      </c>
      <c r="G4" s="4" t="s">
        <v>27</v>
      </c>
      <c r="H4" s="4" t="s">
        <v>26</v>
      </c>
      <c r="I4" s="4" t="s">
        <v>21</v>
      </c>
      <c r="J4" s="3"/>
      <c r="K4" s="3" t="s">
        <v>23</v>
      </c>
      <c r="L4" s="4" t="s">
        <v>24</v>
      </c>
      <c r="M4" s="19"/>
      <c r="N4" s="3" t="str">
        <f>HYPERLINK("https://www.stromypodkontrolou.cz/map/tree/eb9fcfc1-f6fa-405f-85c7-690b2fb79ecd/d6d513ad-c120-4857-8e2f-e2e25f5bb613")</f>
        <v>https://www.stromypodkontrolou.cz/map/tree/eb9fcfc1-f6fa-405f-85c7-690b2fb79ecd/d6d513ad-c120-4857-8e2f-e2e25f5bb613</v>
      </c>
      <c r="O4" s="3" t="str">
        <f>HYPERLINK("https://www.mapy.cz?st=search&amp;fr=49.68100612 18.66690245")</f>
        <v>https://www.mapy.cz?st=search&amp;fr=49.68100612 18.66690245</v>
      </c>
    </row>
    <row r="5" spans="1:15" ht="36">
      <c r="A5" s="16">
        <v>4</v>
      </c>
      <c r="B5" s="13" t="s">
        <v>13</v>
      </c>
      <c r="C5" s="13" t="s">
        <v>28</v>
      </c>
      <c r="D5" s="18">
        <v>1</v>
      </c>
      <c r="E5" s="15" t="s">
        <v>29</v>
      </c>
      <c r="F5" s="13" t="s">
        <v>30</v>
      </c>
      <c r="G5" s="18" t="s">
        <v>31</v>
      </c>
      <c r="H5" s="18" t="s">
        <v>32</v>
      </c>
      <c r="I5" s="18" t="s">
        <v>34</v>
      </c>
      <c r="J5" s="13" t="s">
        <v>35</v>
      </c>
      <c r="K5" s="3" t="s">
        <v>36</v>
      </c>
      <c r="L5" s="4" t="s">
        <v>37</v>
      </c>
      <c r="M5" s="19"/>
      <c r="N5" s="13" t="str">
        <f>HYPERLINK("https://www.stromypodkontrolou.cz/map/tree/eb9fcfc1-f6fa-405f-85c7-690b2fb79ecd/23885804-e3aa-4c37-9b01-425d32d0ea65")</f>
        <v>https://www.stromypodkontrolou.cz/map/tree/eb9fcfc1-f6fa-405f-85c7-690b2fb79ecd/23885804-e3aa-4c37-9b01-425d32d0ea65</v>
      </c>
      <c r="O5" s="13" t="str">
        <f>HYPERLINK("https://www.mapy.cz?st=search&amp;fr=49.66570986 18.67415199")</f>
        <v>https://www.mapy.cz?st=search&amp;fr=49.66570986 18.67415199</v>
      </c>
    </row>
    <row r="6" spans="1:15" ht="36">
      <c r="A6" s="16"/>
      <c r="B6" s="13"/>
      <c r="C6" s="13"/>
      <c r="D6" s="18"/>
      <c r="E6" s="15"/>
      <c r="F6" s="13"/>
      <c r="G6" s="18"/>
      <c r="H6" s="18"/>
      <c r="I6" s="18"/>
      <c r="J6" s="13"/>
      <c r="K6" s="3" t="s">
        <v>38</v>
      </c>
      <c r="L6" s="4" t="s">
        <v>39</v>
      </c>
      <c r="M6" s="19"/>
      <c r="N6" s="13"/>
      <c r="O6" s="13"/>
    </row>
    <row r="7" spans="1:15" ht="36">
      <c r="A7" s="16">
        <v>5</v>
      </c>
      <c r="B7" s="13" t="s">
        <v>13</v>
      </c>
      <c r="C7" s="13" t="s">
        <v>28</v>
      </c>
      <c r="D7" s="18">
        <v>2</v>
      </c>
      <c r="E7" s="15" t="s">
        <v>40</v>
      </c>
      <c r="F7" s="13" t="s">
        <v>41</v>
      </c>
      <c r="G7" s="18" t="s">
        <v>42</v>
      </c>
      <c r="H7" s="18" t="s">
        <v>43</v>
      </c>
      <c r="I7" s="18" t="s">
        <v>17</v>
      </c>
      <c r="J7" s="13" t="s">
        <v>44</v>
      </c>
      <c r="K7" s="3" t="s">
        <v>38</v>
      </c>
      <c r="L7" s="4" t="s">
        <v>39</v>
      </c>
      <c r="M7" s="19"/>
      <c r="N7" s="13" t="str">
        <f>HYPERLINK("https://www.stromypodkontrolou.cz/map/tree/eb9fcfc1-f6fa-405f-85c7-690b2fb79ecd/aa70842c-7152-471d-a4c3-4bc1ee1ab942")</f>
        <v>https://www.stromypodkontrolou.cz/map/tree/eb9fcfc1-f6fa-405f-85c7-690b2fb79ecd/aa70842c-7152-471d-a4c3-4bc1ee1ab942</v>
      </c>
      <c r="O7" s="13" t="str">
        <f>HYPERLINK("https://www.mapy.cz?st=search&amp;fr=49.66565692 18.67412176")</f>
        <v>https://www.mapy.cz?st=search&amp;fr=49.66565692 18.67412176</v>
      </c>
    </row>
    <row r="8" spans="1:15" ht="36">
      <c r="A8" s="16"/>
      <c r="B8" s="13"/>
      <c r="C8" s="13"/>
      <c r="D8" s="18"/>
      <c r="E8" s="15"/>
      <c r="F8" s="13"/>
      <c r="G8" s="18"/>
      <c r="H8" s="18"/>
      <c r="I8" s="18"/>
      <c r="J8" s="13"/>
      <c r="K8" s="3" t="s">
        <v>36</v>
      </c>
      <c r="L8" s="4" t="s">
        <v>37</v>
      </c>
      <c r="M8" s="19"/>
      <c r="N8" s="13"/>
      <c r="O8" s="13"/>
    </row>
    <row r="9" spans="1:15" ht="36">
      <c r="A9" s="16">
        <v>6</v>
      </c>
      <c r="B9" s="13" t="s">
        <v>13</v>
      </c>
      <c r="C9" s="13" t="s">
        <v>28</v>
      </c>
      <c r="D9" s="18">
        <v>8</v>
      </c>
      <c r="E9" s="15" t="s">
        <v>40</v>
      </c>
      <c r="F9" s="13" t="s">
        <v>41</v>
      </c>
      <c r="G9" s="18" t="s">
        <v>31</v>
      </c>
      <c r="H9" s="18" t="s">
        <v>43</v>
      </c>
      <c r="I9" s="18" t="s">
        <v>25</v>
      </c>
      <c r="J9" s="13" t="s">
        <v>45</v>
      </c>
      <c r="K9" s="3" t="s">
        <v>36</v>
      </c>
      <c r="L9" s="4" t="s">
        <v>46</v>
      </c>
      <c r="M9" s="19"/>
      <c r="N9" s="13" t="str">
        <f>HYPERLINK("https://www.stromypodkontrolou.cz/map/tree/eb9fcfc1-f6fa-405f-85c7-690b2fb79ecd/22837fbf-4dff-46be-b4d6-29e03bae0721")</f>
        <v>https://www.stromypodkontrolou.cz/map/tree/eb9fcfc1-f6fa-405f-85c7-690b2fb79ecd/22837fbf-4dff-46be-b4d6-29e03bae0721</v>
      </c>
      <c r="O9" s="13" t="str">
        <f>HYPERLINK("https://www.mapy.cz?st=search&amp;fr=49.66531618 18.67397185")</f>
        <v>https://www.mapy.cz?st=search&amp;fr=49.66531618 18.67397185</v>
      </c>
    </row>
    <row r="10" spans="1:15" ht="36">
      <c r="A10" s="16"/>
      <c r="B10" s="13"/>
      <c r="C10" s="13"/>
      <c r="D10" s="18"/>
      <c r="E10" s="15"/>
      <c r="F10" s="13"/>
      <c r="G10" s="18"/>
      <c r="H10" s="18"/>
      <c r="I10" s="18"/>
      <c r="J10" s="13"/>
      <c r="K10" s="3" t="s">
        <v>38</v>
      </c>
      <c r="L10" s="4" t="s">
        <v>47</v>
      </c>
      <c r="M10" s="19"/>
      <c r="N10" s="13"/>
      <c r="O10" s="13"/>
    </row>
    <row r="11" spans="1:15" ht="36">
      <c r="A11" s="16">
        <v>7</v>
      </c>
      <c r="B11" s="13" t="s">
        <v>13</v>
      </c>
      <c r="C11" s="13" t="s">
        <v>28</v>
      </c>
      <c r="D11" s="18">
        <v>16</v>
      </c>
      <c r="E11" s="15" t="s">
        <v>40</v>
      </c>
      <c r="F11" s="13" t="s">
        <v>41</v>
      </c>
      <c r="G11" s="18" t="s">
        <v>48</v>
      </c>
      <c r="H11" s="18" t="s">
        <v>49</v>
      </c>
      <c r="I11" s="18" t="s">
        <v>17</v>
      </c>
      <c r="J11" s="13" t="s">
        <v>51</v>
      </c>
      <c r="K11" s="3" t="s">
        <v>38</v>
      </c>
      <c r="L11" s="4" t="s">
        <v>52</v>
      </c>
      <c r="M11" s="19"/>
      <c r="N11" s="13" t="str">
        <f>HYPERLINK("https://www.stromypodkontrolou.cz/map/tree/eb9fcfc1-f6fa-405f-85c7-690b2fb79ecd/5b574260-a6e5-48c0-acc6-21cef6d08ece")</f>
        <v>https://www.stromypodkontrolou.cz/map/tree/eb9fcfc1-f6fa-405f-85c7-690b2fb79ecd/5b574260-a6e5-48c0-acc6-21cef6d08ece</v>
      </c>
      <c r="O11" s="13" t="str">
        <f>HYPERLINK("https://www.mapy.cz?st=search&amp;fr=49.66409077 18.67346218")</f>
        <v>https://www.mapy.cz?st=search&amp;fr=49.66409077 18.67346218</v>
      </c>
    </row>
    <row r="12" spans="1:15" ht="36">
      <c r="A12" s="16"/>
      <c r="B12" s="13"/>
      <c r="C12" s="13"/>
      <c r="D12" s="18"/>
      <c r="E12" s="15"/>
      <c r="F12" s="13"/>
      <c r="G12" s="18"/>
      <c r="H12" s="18"/>
      <c r="I12" s="18"/>
      <c r="J12" s="13"/>
      <c r="K12" s="3" t="s">
        <v>36</v>
      </c>
      <c r="L12" s="4" t="s">
        <v>53</v>
      </c>
      <c r="M12" s="19"/>
      <c r="N12" s="13"/>
      <c r="O12" s="13"/>
    </row>
    <row r="13" spans="1:15" ht="120">
      <c r="A13" s="10">
        <v>8</v>
      </c>
      <c r="B13" s="3" t="s">
        <v>13</v>
      </c>
      <c r="C13" s="3" t="s">
        <v>28</v>
      </c>
      <c r="D13" s="4">
        <v>17</v>
      </c>
      <c r="E13" s="5" t="s">
        <v>54</v>
      </c>
      <c r="F13" s="3" t="s">
        <v>55</v>
      </c>
      <c r="G13" s="4" t="s">
        <v>56</v>
      </c>
      <c r="H13" s="4" t="s">
        <v>57</v>
      </c>
      <c r="I13" s="4" t="s">
        <v>17</v>
      </c>
      <c r="J13" s="3" t="s">
        <v>59</v>
      </c>
      <c r="K13" s="3" t="s">
        <v>36</v>
      </c>
      <c r="L13" s="4" t="s">
        <v>60</v>
      </c>
      <c r="M13" s="19"/>
      <c r="N13" s="3" t="str">
        <f>HYPERLINK("https://www.stromypodkontrolou.cz/map/tree/eb9fcfc1-f6fa-405f-85c7-690b2fb79ecd/4a032fbc-686a-4ab1-b8c9-055ca4e5f88a")</f>
        <v>https://www.stromypodkontrolou.cz/map/tree/eb9fcfc1-f6fa-405f-85c7-690b2fb79ecd/4a032fbc-686a-4ab1-b8c9-055ca4e5f88a</v>
      </c>
      <c r="O13" s="3" t="str">
        <f>HYPERLINK("https://www.mapy.cz?st=search&amp;fr=49.66320816 18.67308844")</f>
        <v>https://www.mapy.cz?st=search&amp;fr=49.66320816 18.67308844</v>
      </c>
    </row>
    <row r="14" spans="1:15" ht="120">
      <c r="A14" s="10">
        <v>9</v>
      </c>
      <c r="B14" s="3" t="s">
        <v>13</v>
      </c>
      <c r="C14" s="3" t="s">
        <v>28</v>
      </c>
      <c r="D14" s="4">
        <v>31</v>
      </c>
      <c r="E14" s="5" t="s">
        <v>54</v>
      </c>
      <c r="F14" s="3" t="s">
        <v>55</v>
      </c>
      <c r="G14" s="4" t="s">
        <v>61</v>
      </c>
      <c r="H14" s="4" t="s">
        <v>62</v>
      </c>
      <c r="I14" s="4" t="s">
        <v>34</v>
      </c>
      <c r="J14" s="3"/>
      <c r="K14" s="3" t="s">
        <v>36</v>
      </c>
      <c r="L14" s="4" t="s">
        <v>53</v>
      </c>
      <c r="M14" s="19"/>
      <c r="N14" s="3" t="str">
        <f>HYPERLINK("https://www.stromypodkontrolou.cz/map/tree/eb9fcfc1-f6fa-405f-85c7-690b2fb79ecd/b310fbe1-b12e-418e-ace9-f5d79bf74d2a")</f>
        <v>https://www.stromypodkontrolou.cz/map/tree/eb9fcfc1-f6fa-405f-85c7-690b2fb79ecd/b310fbe1-b12e-418e-ace9-f5d79bf74d2a</v>
      </c>
      <c r="O14" s="3" t="str">
        <f>HYPERLINK("https://www.mapy.cz?st=search&amp;fr=49.66126923 18.67226739")</f>
        <v>https://www.mapy.cz?st=search&amp;fr=49.66126923 18.67226739</v>
      </c>
    </row>
    <row r="15" spans="1:15" ht="120">
      <c r="A15" s="10">
        <v>10</v>
      </c>
      <c r="B15" s="3" t="s">
        <v>13</v>
      </c>
      <c r="C15" s="3" t="s">
        <v>63</v>
      </c>
      <c r="D15" s="4">
        <v>6</v>
      </c>
      <c r="E15" s="5" t="s">
        <v>40</v>
      </c>
      <c r="F15" s="3" t="s">
        <v>41</v>
      </c>
      <c r="G15" s="4" t="s">
        <v>64</v>
      </c>
      <c r="H15" s="4" t="s">
        <v>62</v>
      </c>
      <c r="I15" s="4" t="s">
        <v>65</v>
      </c>
      <c r="J15" s="3" t="s">
        <v>66</v>
      </c>
      <c r="K15" s="3" t="s">
        <v>38</v>
      </c>
      <c r="L15" s="4" t="s">
        <v>67</v>
      </c>
      <c r="M15" s="19"/>
      <c r="N15" s="3" t="str">
        <f>HYPERLINK("https://www.stromypodkontrolou.cz/map/tree/eb9fcfc1-f6fa-405f-85c7-690b2fb79ecd/4f5eca74-5a33-46c6-a8f2-bf276f500e4a")</f>
        <v>https://www.stromypodkontrolou.cz/map/tree/eb9fcfc1-f6fa-405f-85c7-690b2fb79ecd/4f5eca74-5a33-46c6-a8f2-bf276f500e4a</v>
      </c>
      <c r="O15" s="3" t="str">
        <f>HYPERLINK("https://www.mapy.cz?st=search&amp;fr=49.66258653 18.67244143")</f>
        <v>https://www.mapy.cz?st=search&amp;fr=49.66258653 18.67244143</v>
      </c>
    </row>
    <row r="16" spans="1:15" ht="36">
      <c r="A16" s="16">
        <v>11</v>
      </c>
      <c r="B16" s="13" t="s">
        <v>13</v>
      </c>
      <c r="C16" s="13" t="s">
        <v>63</v>
      </c>
      <c r="D16" s="18">
        <v>11</v>
      </c>
      <c r="E16" s="15" t="s">
        <v>40</v>
      </c>
      <c r="F16" s="13" t="s">
        <v>41</v>
      </c>
      <c r="G16" s="18" t="s">
        <v>68</v>
      </c>
      <c r="H16" s="18" t="s">
        <v>69</v>
      </c>
      <c r="I16" s="18" t="s">
        <v>65</v>
      </c>
      <c r="J16" s="13" t="s">
        <v>70</v>
      </c>
      <c r="K16" s="3" t="s">
        <v>71</v>
      </c>
      <c r="L16" s="4" t="s">
        <v>72</v>
      </c>
      <c r="M16" s="19"/>
      <c r="N16" s="13" t="str">
        <f>HYPERLINK("https://www.stromypodkontrolou.cz/map/tree/eb9fcfc1-f6fa-405f-85c7-690b2fb79ecd/2b3da31b-6084-4783-8bab-ab094a05ef97")</f>
        <v>https://www.stromypodkontrolou.cz/map/tree/eb9fcfc1-f6fa-405f-85c7-690b2fb79ecd/2b3da31b-6084-4783-8bab-ab094a05ef97</v>
      </c>
      <c r="O16" s="13" t="str">
        <f>HYPERLINK("https://www.mapy.cz?st=search&amp;fr=49.66250809 18.67206107")</f>
        <v>https://www.mapy.cz?st=search&amp;fr=49.66250809 18.67206107</v>
      </c>
    </row>
    <row r="17" spans="1:15" ht="36">
      <c r="A17" s="16"/>
      <c r="B17" s="13"/>
      <c r="C17" s="13"/>
      <c r="D17" s="18"/>
      <c r="E17" s="15"/>
      <c r="F17" s="13"/>
      <c r="G17" s="18"/>
      <c r="H17" s="18"/>
      <c r="I17" s="18"/>
      <c r="J17" s="13"/>
      <c r="K17" s="3" t="s">
        <v>36</v>
      </c>
      <c r="L17" s="4" t="s">
        <v>37</v>
      </c>
      <c r="M17" s="19"/>
      <c r="N17" s="13"/>
      <c r="O17" s="13"/>
    </row>
    <row r="18" spans="1:15" ht="12.75">
      <c r="A18" s="16"/>
      <c r="B18" s="13"/>
      <c r="C18" s="13"/>
      <c r="D18" s="18"/>
      <c r="E18" s="15"/>
      <c r="F18" s="13"/>
      <c r="G18" s="18"/>
      <c r="H18" s="18"/>
      <c r="I18" s="18"/>
      <c r="J18" s="13"/>
      <c r="K18" s="3" t="s">
        <v>38</v>
      </c>
      <c r="L18" s="4" t="s">
        <v>73</v>
      </c>
      <c r="M18" s="19"/>
      <c r="N18" s="13"/>
      <c r="O18" s="13"/>
    </row>
    <row r="19" spans="1:15" ht="36">
      <c r="A19" s="16">
        <v>12</v>
      </c>
      <c r="B19" s="13" t="s">
        <v>13</v>
      </c>
      <c r="C19" s="13" t="s">
        <v>63</v>
      </c>
      <c r="D19" s="18">
        <v>12</v>
      </c>
      <c r="E19" s="15" t="s">
        <v>40</v>
      </c>
      <c r="F19" s="13" t="s">
        <v>41</v>
      </c>
      <c r="G19" s="18" t="s">
        <v>74</v>
      </c>
      <c r="H19" s="18" t="s">
        <v>43</v>
      </c>
      <c r="I19" s="18" t="s">
        <v>65</v>
      </c>
      <c r="J19" s="13" t="s">
        <v>75</v>
      </c>
      <c r="K19" s="3" t="s">
        <v>36</v>
      </c>
      <c r="L19" s="4" t="s">
        <v>53</v>
      </c>
      <c r="M19" s="19"/>
      <c r="N19" s="13" t="str">
        <f>HYPERLINK("https://www.stromypodkontrolou.cz/map/tree/eb9fcfc1-f6fa-405f-85c7-690b2fb79ecd/3b0e72f3-1e05-4b28-b9f0-48d688fc78a4")</f>
        <v>https://www.stromypodkontrolou.cz/map/tree/eb9fcfc1-f6fa-405f-85c7-690b2fb79ecd/3b0e72f3-1e05-4b28-b9f0-48d688fc78a4</v>
      </c>
      <c r="O19" s="13" t="str">
        <f>HYPERLINK("https://www.mapy.cz?st=search&amp;fr=49.66259003 18.67207481")</f>
        <v>https://www.mapy.cz?st=search&amp;fr=49.66259003 18.67207481</v>
      </c>
    </row>
    <row r="20" spans="1:15" ht="36">
      <c r="A20" s="16"/>
      <c r="B20" s="13"/>
      <c r="C20" s="13"/>
      <c r="D20" s="18"/>
      <c r="E20" s="15"/>
      <c r="F20" s="13"/>
      <c r="G20" s="18"/>
      <c r="H20" s="18"/>
      <c r="I20" s="18"/>
      <c r="J20" s="13"/>
      <c r="K20" s="3" t="s">
        <v>38</v>
      </c>
      <c r="L20" s="4" t="s">
        <v>52</v>
      </c>
      <c r="M20" s="19"/>
      <c r="N20" s="13"/>
      <c r="O20" s="13"/>
    </row>
    <row r="21" spans="1:15" ht="120">
      <c r="A21" s="10">
        <v>13</v>
      </c>
      <c r="B21" s="3" t="s">
        <v>13</v>
      </c>
      <c r="C21" s="3" t="s">
        <v>63</v>
      </c>
      <c r="D21" s="4">
        <v>33</v>
      </c>
      <c r="E21" s="5" t="s">
        <v>76</v>
      </c>
      <c r="F21" s="3" t="s">
        <v>77</v>
      </c>
      <c r="G21" s="4" t="s">
        <v>78</v>
      </c>
      <c r="H21" s="4" t="s">
        <v>79</v>
      </c>
      <c r="I21" s="4" t="s">
        <v>80</v>
      </c>
      <c r="J21" s="3" t="s">
        <v>81</v>
      </c>
      <c r="K21" s="3" t="s">
        <v>38</v>
      </c>
      <c r="L21" s="4" t="s">
        <v>82</v>
      </c>
      <c r="M21" s="19"/>
      <c r="N21" s="3" t="str">
        <f>HYPERLINK("https://www.stromypodkontrolou.cz/map/tree/eb9fcfc1-f6fa-405f-85c7-690b2fb79ecd/d8dc3800-b366-4293-9379-a8787800f475")</f>
        <v>https://www.stromypodkontrolou.cz/map/tree/eb9fcfc1-f6fa-405f-85c7-690b2fb79ecd/d8dc3800-b366-4293-9379-a8787800f475</v>
      </c>
      <c r="O21" s="3" t="str">
        <f>HYPERLINK("https://www.mapy.cz?st=search&amp;fr=49.66321891 18.67253383")</f>
        <v>https://www.mapy.cz?st=search&amp;fr=49.66321891 18.67253383</v>
      </c>
    </row>
    <row r="22" spans="1:15" ht="120">
      <c r="A22" s="10">
        <v>14</v>
      </c>
      <c r="B22" s="3" t="s">
        <v>13</v>
      </c>
      <c r="C22" s="3" t="s">
        <v>63</v>
      </c>
      <c r="D22" s="4">
        <v>114</v>
      </c>
      <c r="E22" s="5" t="s">
        <v>83</v>
      </c>
      <c r="F22" s="3" t="s">
        <v>84</v>
      </c>
      <c r="G22" s="4" t="s">
        <v>85</v>
      </c>
      <c r="H22" s="4" t="s">
        <v>86</v>
      </c>
      <c r="I22" s="4" t="s">
        <v>87</v>
      </c>
      <c r="J22" s="3" t="s">
        <v>88</v>
      </c>
      <c r="K22" s="3" t="s">
        <v>89</v>
      </c>
      <c r="L22" s="4" t="s">
        <v>90</v>
      </c>
      <c r="M22" s="19"/>
      <c r="N22" s="3" t="str">
        <f>HYPERLINK("https://www.stromypodkontrolou.cz/map/tree/eb9fcfc1-f6fa-405f-85c7-690b2fb79ecd/20cf5058-a019-4b97-bd2a-50096115668d")</f>
        <v>https://www.stromypodkontrolou.cz/map/tree/eb9fcfc1-f6fa-405f-85c7-690b2fb79ecd/20cf5058-a019-4b97-bd2a-50096115668d</v>
      </c>
      <c r="O22" s="3" t="str">
        <f>HYPERLINK("https://www.mapy.cz?st=search&amp;fr=49.66470654 18.67285257")</f>
        <v>https://www.mapy.cz?st=search&amp;fr=49.66470654 18.67285257</v>
      </c>
    </row>
    <row r="23" spans="1:15" ht="120">
      <c r="A23" s="10">
        <v>15</v>
      </c>
      <c r="B23" s="3" t="s">
        <v>13</v>
      </c>
      <c r="C23" s="3" t="s">
        <v>63</v>
      </c>
      <c r="D23" s="4">
        <v>116</v>
      </c>
      <c r="E23" s="5" t="s">
        <v>91</v>
      </c>
      <c r="F23" s="3" t="s">
        <v>92</v>
      </c>
      <c r="G23" s="4" t="s">
        <v>68</v>
      </c>
      <c r="H23" s="4" t="s">
        <v>93</v>
      </c>
      <c r="I23" s="4" t="s">
        <v>65</v>
      </c>
      <c r="J23" s="3" t="s">
        <v>94</v>
      </c>
      <c r="K23" s="3" t="s">
        <v>71</v>
      </c>
      <c r="L23" s="4" t="s">
        <v>95</v>
      </c>
      <c r="M23" s="19"/>
      <c r="N23" s="3" t="str">
        <f>HYPERLINK("https://www.stromypodkontrolou.cz/map/tree/eb9fcfc1-f6fa-405f-85c7-690b2fb79ecd/7fc38177-c135-45b9-ac8b-64e663aa6e5c")</f>
        <v>https://www.stromypodkontrolou.cz/map/tree/eb9fcfc1-f6fa-405f-85c7-690b2fb79ecd/7fc38177-c135-45b9-ac8b-64e663aa6e5c</v>
      </c>
      <c r="O23" s="3" t="str">
        <f>HYPERLINK("https://www.mapy.cz?st=search&amp;fr=49.66458683 18.67307282")</f>
        <v>https://www.mapy.cz?st=search&amp;fr=49.66458683 18.67307282</v>
      </c>
    </row>
    <row r="24" spans="1:15" ht="120">
      <c r="A24" s="10">
        <v>16</v>
      </c>
      <c r="B24" s="3" t="s">
        <v>13</v>
      </c>
      <c r="C24" s="3" t="s">
        <v>63</v>
      </c>
      <c r="D24" s="4">
        <v>135</v>
      </c>
      <c r="E24" s="5" t="s">
        <v>40</v>
      </c>
      <c r="F24" s="3" t="s">
        <v>41</v>
      </c>
      <c r="G24" s="4" t="s">
        <v>96</v>
      </c>
      <c r="H24" s="4" t="s">
        <v>97</v>
      </c>
      <c r="I24" s="4" t="s">
        <v>17</v>
      </c>
      <c r="J24" s="3" t="s">
        <v>45</v>
      </c>
      <c r="K24" s="3" t="s">
        <v>38</v>
      </c>
      <c r="L24" s="4" t="s">
        <v>52</v>
      </c>
      <c r="M24" s="19"/>
      <c r="N24" s="3" t="str">
        <f>HYPERLINK("https://www.stromypodkontrolou.cz/map/tree/eb9fcfc1-f6fa-405f-85c7-690b2fb79ecd/21f6bfe4-b648-45ed-84a4-24a6f6ef774a")</f>
        <v>https://www.stromypodkontrolou.cz/map/tree/eb9fcfc1-f6fa-405f-85c7-690b2fb79ecd/21f6bfe4-b648-45ed-84a4-24a6f6ef774a</v>
      </c>
      <c r="O24" s="3" t="str">
        <f>HYPERLINK("https://www.mapy.cz?st=search&amp;fr=49.66596708 18.67393503")</f>
        <v>https://www.mapy.cz?st=search&amp;fr=49.66596708 18.67393503</v>
      </c>
    </row>
    <row r="25" spans="1:15" ht="36">
      <c r="A25" s="16">
        <v>17</v>
      </c>
      <c r="B25" s="13" t="s">
        <v>13</v>
      </c>
      <c r="C25" s="13" t="s">
        <v>63</v>
      </c>
      <c r="D25" s="18">
        <v>140</v>
      </c>
      <c r="E25" s="15" t="s">
        <v>40</v>
      </c>
      <c r="F25" s="13" t="s">
        <v>41</v>
      </c>
      <c r="G25" s="18" t="s">
        <v>98</v>
      </c>
      <c r="H25" s="18" t="s">
        <v>57</v>
      </c>
      <c r="I25" s="18" t="s">
        <v>99</v>
      </c>
      <c r="J25" s="13" t="s">
        <v>100</v>
      </c>
      <c r="K25" s="3" t="s">
        <v>36</v>
      </c>
      <c r="L25" s="4" t="s">
        <v>101</v>
      </c>
      <c r="M25" s="19"/>
      <c r="N25" s="13" t="str">
        <f>HYPERLINK("https://www.stromypodkontrolou.cz/map/tree/eb9fcfc1-f6fa-405f-85c7-690b2fb79ecd/81c9f219-cccc-4707-994c-bc2c4917647d")</f>
        <v>https://www.stromypodkontrolou.cz/map/tree/eb9fcfc1-f6fa-405f-85c7-690b2fb79ecd/81c9f219-cccc-4707-994c-bc2c4917647d</v>
      </c>
      <c r="O25" s="13" t="str">
        <f>HYPERLINK("https://www.mapy.cz?st=search&amp;fr=49.66611174 18.67395143")</f>
        <v>https://www.mapy.cz?st=search&amp;fr=49.66611174 18.67395143</v>
      </c>
    </row>
    <row r="26" spans="1:15" ht="36">
      <c r="A26" s="16"/>
      <c r="B26" s="13"/>
      <c r="C26" s="13"/>
      <c r="D26" s="18"/>
      <c r="E26" s="15"/>
      <c r="F26" s="13"/>
      <c r="G26" s="18"/>
      <c r="H26" s="18"/>
      <c r="I26" s="18"/>
      <c r="J26" s="13"/>
      <c r="K26" s="3" t="s">
        <v>38</v>
      </c>
      <c r="L26" s="4" t="s">
        <v>102</v>
      </c>
      <c r="M26" s="19"/>
      <c r="N26" s="13"/>
      <c r="O26" s="13"/>
    </row>
    <row r="27" spans="1:15" ht="72">
      <c r="A27" s="16"/>
      <c r="B27" s="13"/>
      <c r="C27" s="13"/>
      <c r="D27" s="18"/>
      <c r="E27" s="15"/>
      <c r="F27" s="13"/>
      <c r="G27" s="18"/>
      <c r="H27" s="18"/>
      <c r="I27" s="18"/>
      <c r="J27" s="13"/>
      <c r="K27" s="6" t="s">
        <v>103</v>
      </c>
      <c r="L27" s="4" t="s">
        <v>104</v>
      </c>
      <c r="M27" s="19"/>
      <c r="N27" s="13"/>
      <c r="O27" s="13"/>
    </row>
    <row r="28" spans="1:15" ht="12.75" customHeight="1">
      <c r="A28" s="16">
        <v>18</v>
      </c>
      <c r="B28" s="13" t="s">
        <v>13</v>
      </c>
      <c r="C28" s="13" t="s">
        <v>63</v>
      </c>
      <c r="D28" s="18">
        <v>141</v>
      </c>
      <c r="E28" s="15" t="s">
        <v>40</v>
      </c>
      <c r="F28" s="13" t="s">
        <v>41</v>
      </c>
      <c r="G28" s="18" t="s">
        <v>105</v>
      </c>
      <c r="H28" s="18" t="s">
        <v>106</v>
      </c>
      <c r="I28" s="18" t="s">
        <v>65</v>
      </c>
      <c r="J28" s="13" t="s">
        <v>107</v>
      </c>
      <c r="K28" s="3" t="s">
        <v>38</v>
      </c>
      <c r="L28" s="4" t="s">
        <v>108</v>
      </c>
      <c r="M28" s="19"/>
      <c r="N28" s="13" t="str">
        <f>HYPERLINK("https://www.stromypodkontrolou.cz/map/tree/eb9fcfc1-f6fa-405f-85c7-690b2fb79ecd/49e199a5-9635-48d5-8fcc-5b1fcefe6de4")</f>
        <v>https://www.stromypodkontrolou.cz/map/tree/eb9fcfc1-f6fa-405f-85c7-690b2fb79ecd/49e199a5-9635-48d5-8fcc-5b1fcefe6de4</v>
      </c>
      <c r="O28" s="13" t="str">
        <f>HYPERLINK("https://www.mapy.cz?st=search&amp;fr=49.66615858 18.67391065")</f>
        <v>https://www.mapy.cz?st=search&amp;fr=49.66615858 18.67391065</v>
      </c>
    </row>
    <row r="29" spans="1:15" ht="36">
      <c r="A29" s="16"/>
      <c r="B29" s="13"/>
      <c r="C29" s="13"/>
      <c r="D29" s="18"/>
      <c r="E29" s="15"/>
      <c r="F29" s="13"/>
      <c r="G29" s="18"/>
      <c r="H29" s="18"/>
      <c r="I29" s="18"/>
      <c r="J29" s="13"/>
      <c r="K29" s="3" t="s">
        <v>36</v>
      </c>
      <c r="L29" s="4" t="s">
        <v>60</v>
      </c>
      <c r="M29" s="19"/>
      <c r="N29" s="13"/>
      <c r="O29" s="13"/>
    </row>
    <row r="30" spans="1:15" ht="72">
      <c r="A30" s="16"/>
      <c r="B30" s="13"/>
      <c r="C30" s="13"/>
      <c r="D30" s="18"/>
      <c r="E30" s="15"/>
      <c r="F30" s="13"/>
      <c r="G30" s="18"/>
      <c r="H30" s="18"/>
      <c r="I30" s="18"/>
      <c r="J30" s="13"/>
      <c r="K30" s="6" t="s">
        <v>103</v>
      </c>
      <c r="L30" s="4" t="s">
        <v>104</v>
      </c>
      <c r="M30" s="19"/>
      <c r="N30" s="13"/>
      <c r="O30" s="13"/>
    </row>
    <row r="31" spans="1:15" ht="12.75" customHeight="1">
      <c r="A31" s="16">
        <v>19</v>
      </c>
      <c r="B31" s="13" t="s">
        <v>13</v>
      </c>
      <c r="C31" s="13" t="s">
        <v>63</v>
      </c>
      <c r="D31" s="18">
        <v>156</v>
      </c>
      <c r="E31" s="15" t="s">
        <v>109</v>
      </c>
      <c r="F31" s="13" t="s">
        <v>110</v>
      </c>
      <c r="G31" s="18" t="s">
        <v>99</v>
      </c>
      <c r="H31" s="18" t="s">
        <v>111</v>
      </c>
      <c r="I31" s="18" t="s">
        <v>50</v>
      </c>
      <c r="J31" s="13"/>
      <c r="K31" s="3" t="s">
        <v>112</v>
      </c>
      <c r="L31" s="4" t="s">
        <v>113</v>
      </c>
      <c r="M31" s="19"/>
      <c r="N31" s="13" t="str">
        <f>HYPERLINK("https://www.stromypodkontrolou.cz/map/tree/eb9fcfc1-f6fa-405f-85c7-690b2fb79ecd/28d1035c-b7c1-4dc6-8b02-51cad42edf6e")</f>
        <v>https://www.stromypodkontrolou.cz/map/tree/eb9fcfc1-f6fa-405f-85c7-690b2fb79ecd/28d1035c-b7c1-4dc6-8b02-51cad42edf6e</v>
      </c>
      <c r="O31" s="13" t="str">
        <f>HYPERLINK("https://www.mapy.cz?st=search&amp;fr=49.66694342 18.67306840")</f>
        <v>https://www.mapy.cz?st=search&amp;fr=49.66694342 18.67306840</v>
      </c>
    </row>
    <row r="32" spans="1:15" ht="12.75">
      <c r="A32" s="16"/>
      <c r="B32" s="13"/>
      <c r="C32" s="13"/>
      <c r="D32" s="18"/>
      <c r="E32" s="15"/>
      <c r="F32" s="13"/>
      <c r="G32" s="18"/>
      <c r="H32" s="18"/>
      <c r="I32" s="18"/>
      <c r="J32" s="13"/>
      <c r="K32" s="3" t="s">
        <v>38</v>
      </c>
      <c r="L32" s="4" t="s">
        <v>114</v>
      </c>
      <c r="M32" s="19"/>
      <c r="N32" s="13"/>
      <c r="O32" s="13"/>
    </row>
    <row r="33" spans="1:15" ht="120">
      <c r="A33" s="10">
        <v>20</v>
      </c>
      <c r="B33" s="3" t="s">
        <v>13</v>
      </c>
      <c r="C33" s="3" t="s">
        <v>63</v>
      </c>
      <c r="D33" s="4">
        <v>182</v>
      </c>
      <c r="E33" s="5" t="s">
        <v>115</v>
      </c>
      <c r="F33" s="3" t="s">
        <v>116</v>
      </c>
      <c r="G33" s="4" t="s">
        <v>34</v>
      </c>
      <c r="H33" s="4" t="s">
        <v>117</v>
      </c>
      <c r="I33" s="4" t="s">
        <v>20</v>
      </c>
      <c r="J33" s="3"/>
      <c r="K33" s="3" t="s">
        <v>23</v>
      </c>
      <c r="L33" s="4" t="s">
        <v>118</v>
      </c>
      <c r="M33" s="19"/>
      <c r="N33" s="3" t="str">
        <f>HYPERLINK("https://www.stromypodkontrolou.cz/map/tree/eb9fcfc1-f6fa-405f-85c7-690b2fb79ecd/990fca76-3f6c-40ea-a12f-b8697189f92b")</f>
        <v>https://www.stromypodkontrolou.cz/map/tree/eb9fcfc1-f6fa-405f-85c7-690b2fb79ecd/990fca76-3f6c-40ea-a12f-b8697189f92b</v>
      </c>
      <c r="O33" s="3" t="str">
        <f>HYPERLINK("https://www.mapy.cz?st=search&amp;fr=49.66401583 18.67212772")</f>
        <v>https://www.mapy.cz?st=search&amp;fr=49.66401583 18.67212772</v>
      </c>
    </row>
    <row r="34" spans="1:15" ht="120">
      <c r="A34" s="10">
        <v>21</v>
      </c>
      <c r="B34" s="3" t="s">
        <v>13</v>
      </c>
      <c r="C34" s="3" t="s">
        <v>63</v>
      </c>
      <c r="D34" s="4">
        <v>183</v>
      </c>
      <c r="E34" s="5" t="s">
        <v>115</v>
      </c>
      <c r="F34" s="3" t="s">
        <v>116</v>
      </c>
      <c r="G34" s="4" t="s">
        <v>34</v>
      </c>
      <c r="H34" s="4" t="s">
        <v>117</v>
      </c>
      <c r="I34" s="4" t="s">
        <v>21</v>
      </c>
      <c r="J34" s="3"/>
      <c r="K34" s="3" t="s">
        <v>23</v>
      </c>
      <c r="L34" s="4" t="s">
        <v>118</v>
      </c>
      <c r="M34" s="19"/>
      <c r="N34" s="3" t="str">
        <f>HYPERLINK("https://www.stromypodkontrolou.cz/map/tree/eb9fcfc1-f6fa-405f-85c7-690b2fb79ecd/f7e3b9a9-2f27-42a1-883b-7874be5f3194")</f>
        <v>https://www.stromypodkontrolou.cz/map/tree/eb9fcfc1-f6fa-405f-85c7-690b2fb79ecd/f7e3b9a9-2f27-42a1-883b-7874be5f3194</v>
      </c>
      <c r="O34" s="3" t="str">
        <f>HYPERLINK("https://www.mapy.cz?st=search&amp;fr=49.66408441 18.67215186")</f>
        <v>https://www.mapy.cz?st=search&amp;fr=49.66408441 18.67215186</v>
      </c>
    </row>
    <row r="35" spans="1:15" ht="120">
      <c r="A35" s="10">
        <v>22</v>
      </c>
      <c r="B35" s="3" t="s">
        <v>13</v>
      </c>
      <c r="C35" s="3" t="s">
        <v>63</v>
      </c>
      <c r="D35" s="4">
        <v>185</v>
      </c>
      <c r="E35" s="5" t="s">
        <v>40</v>
      </c>
      <c r="F35" s="3" t="s">
        <v>41</v>
      </c>
      <c r="G35" s="4" t="s">
        <v>119</v>
      </c>
      <c r="H35" s="4" t="s">
        <v>49</v>
      </c>
      <c r="I35" s="4" t="s">
        <v>17</v>
      </c>
      <c r="J35" s="3" t="s">
        <v>120</v>
      </c>
      <c r="K35" s="3" t="s">
        <v>38</v>
      </c>
      <c r="L35" s="4" t="s">
        <v>52</v>
      </c>
      <c r="M35" s="19"/>
      <c r="N35" s="3" t="str">
        <f>HYPERLINK("https://www.stromypodkontrolou.cz/map/tree/eb9fcfc1-f6fa-405f-85c7-690b2fb79ecd/4681af27-ab2d-43a6-bda4-3cdfe21e14d8")</f>
        <v>https://www.stromypodkontrolou.cz/map/tree/eb9fcfc1-f6fa-405f-85c7-690b2fb79ecd/4681af27-ab2d-43a6-bda4-3cdfe21e14d8</v>
      </c>
      <c r="O35" s="3" t="str">
        <f>HYPERLINK("https://www.mapy.cz?st=search&amp;fr=49.66589678 18.67308200")</f>
        <v>https://www.mapy.cz?st=search&amp;fr=49.66589678 18.67308200</v>
      </c>
    </row>
    <row r="36" spans="1:15" ht="120">
      <c r="A36" s="10">
        <v>23</v>
      </c>
      <c r="B36" s="3" t="s">
        <v>13</v>
      </c>
      <c r="C36" s="3" t="s">
        <v>63</v>
      </c>
      <c r="D36" s="4">
        <v>199</v>
      </c>
      <c r="E36" s="5" t="s">
        <v>76</v>
      </c>
      <c r="F36" s="3" t="s">
        <v>77</v>
      </c>
      <c r="G36" s="4" t="s">
        <v>17</v>
      </c>
      <c r="H36" s="4" t="s">
        <v>69</v>
      </c>
      <c r="I36" s="4" t="s">
        <v>21</v>
      </c>
      <c r="J36" s="3"/>
      <c r="K36" s="3" t="s">
        <v>23</v>
      </c>
      <c r="L36" s="4" t="s">
        <v>118</v>
      </c>
      <c r="M36" s="19"/>
      <c r="N36" s="3" t="str">
        <f>HYPERLINK("https://www.stromypodkontrolou.cz/map/tree/eb9fcfc1-f6fa-405f-85c7-690b2fb79ecd/825276d8-07ef-4cc8-89bf-3008fe83bd52")</f>
        <v>https://www.stromypodkontrolou.cz/map/tree/eb9fcfc1-f6fa-405f-85c7-690b2fb79ecd/825276d8-07ef-4cc8-89bf-3008fe83bd52</v>
      </c>
      <c r="O36" s="3" t="str">
        <f>HYPERLINK("https://www.mapy.cz?st=search&amp;fr=49.66326083 18.67185533")</f>
        <v>https://www.mapy.cz?st=search&amp;fr=49.66326083 18.67185533</v>
      </c>
    </row>
    <row r="37" spans="1:15" ht="120">
      <c r="A37" s="10">
        <v>24</v>
      </c>
      <c r="B37" s="3" t="s">
        <v>13</v>
      </c>
      <c r="C37" s="3" t="s">
        <v>126</v>
      </c>
      <c r="D37" s="4">
        <v>73</v>
      </c>
      <c r="E37" s="5" t="s">
        <v>76</v>
      </c>
      <c r="F37" s="3" t="s">
        <v>77</v>
      </c>
      <c r="G37" s="4" t="s">
        <v>127</v>
      </c>
      <c r="H37" s="4" t="s">
        <v>97</v>
      </c>
      <c r="I37" s="4" t="s">
        <v>99</v>
      </c>
      <c r="J37" s="3" t="s">
        <v>128</v>
      </c>
      <c r="K37" s="3" t="s">
        <v>129</v>
      </c>
      <c r="L37" s="4" t="s">
        <v>60</v>
      </c>
      <c r="M37" s="19"/>
      <c r="N37" s="3" t="str">
        <f>HYPERLINK("https://www.stromypodkontrolou.cz/map/tree/eb9fcfc1-f6fa-405f-85c7-690b2fb79ecd/e1701f46-cf82-4da9-b242-122dea98c1b5")</f>
        <v>https://www.stromypodkontrolou.cz/map/tree/eb9fcfc1-f6fa-405f-85c7-690b2fb79ecd/e1701f46-cf82-4da9-b242-122dea98c1b5</v>
      </c>
      <c r="O37" s="3" t="str">
        <f>HYPERLINK("https://www.mapy.cz?st=search&amp;fr=49.66383256 18.68603311")</f>
        <v>https://www.mapy.cz?st=search&amp;fr=49.66383256 18.68603311</v>
      </c>
    </row>
    <row r="38" spans="1:15" ht="120">
      <c r="A38" s="10">
        <v>25</v>
      </c>
      <c r="B38" s="3" t="s">
        <v>13</v>
      </c>
      <c r="C38" s="3" t="s">
        <v>126</v>
      </c>
      <c r="D38" s="4">
        <v>96</v>
      </c>
      <c r="E38" s="5" t="s">
        <v>130</v>
      </c>
      <c r="F38" s="3" t="s">
        <v>131</v>
      </c>
      <c r="G38" s="4" t="s">
        <v>17</v>
      </c>
      <c r="H38" s="4" t="s">
        <v>132</v>
      </c>
      <c r="I38" s="4" t="s">
        <v>50</v>
      </c>
      <c r="J38" s="3"/>
      <c r="K38" s="3" t="s">
        <v>23</v>
      </c>
      <c r="L38" s="4" t="s">
        <v>118</v>
      </c>
      <c r="M38" s="19"/>
      <c r="N38" s="3" t="str">
        <f>HYPERLINK("https://www.stromypodkontrolou.cz/map/tree/eb9fcfc1-f6fa-405f-85c7-690b2fb79ecd/eccc3b3c-d650-4c4b-b2fd-498d05347830")</f>
        <v>https://www.stromypodkontrolou.cz/map/tree/eb9fcfc1-f6fa-405f-85c7-690b2fb79ecd/eccc3b3c-d650-4c4b-b2fd-498d05347830</v>
      </c>
      <c r="O38" s="3" t="str">
        <f>HYPERLINK("https://www.mapy.cz?st=search&amp;fr=49.66410174 18.68626333")</f>
        <v>https://www.mapy.cz?st=search&amp;fr=49.66410174 18.68626333</v>
      </c>
    </row>
    <row r="39" spans="1:15" ht="120">
      <c r="A39" s="10">
        <v>26</v>
      </c>
      <c r="B39" s="3" t="s">
        <v>13</v>
      </c>
      <c r="C39" s="3" t="s">
        <v>126</v>
      </c>
      <c r="D39" s="4">
        <v>97</v>
      </c>
      <c r="E39" s="5" t="s">
        <v>133</v>
      </c>
      <c r="F39" s="3" t="s">
        <v>134</v>
      </c>
      <c r="G39" s="4" t="s">
        <v>135</v>
      </c>
      <c r="H39" s="4" t="s">
        <v>132</v>
      </c>
      <c r="I39" s="4" t="s">
        <v>27</v>
      </c>
      <c r="J39" s="3"/>
      <c r="K39" s="3" t="s">
        <v>23</v>
      </c>
      <c r="L39" s="4" t="s">
        <v>118</v>
      </c>
      <c r="M39" s="19"/>
      <c r="N39" s="3" t="str">
        <f>HYPERLINK("https://www.stromypodkontrolou.cz/map/tree/eb9fcfc1-f6fa-405f-85c7-690b2fb79ecd/0e233890-ac42-4cd2-b26a-b5114e5eadd9")</f>
        <v>https://www.stromypodkontrolou.cz/map/tree/eb9fcfc1-f6fa-405f-85c7-690b2fb79ecd/0e233890-ac42-4cd2-b26a-b5114e5eadd9</v>
      </c>
      <c r="O39" s="3" t="str">
        <f>HYPERLINK("https://www.mapy.cz?st=search&amp;fr=49.66454361 18.68683528")</f>
        <v>https://www.mapy.cz?st=search&amp;fr=49.66454361 18.68683528</v>
      </c>
    </row>
    <row r="40" spans="1:15" ht="120">
      <c r="A40" s="10">
        <v>27</v>
      </c>
      <c r="B40" s="3" t="s">
        <v>13</v>
      </c>
      <c r="C40" s="3" t="s">
        <v>126</v>
      </c>
      <c r="D40" s="4">
        <v>98</v>
      </c>
      <c r="E40" s="5" t="s">
        <v>29</v>
      </c>
      <c r="F40" s="3" t="s">
        <v>30</v>
      </c>
      <c r="G40" s="4" t="s">
        <v>50</v>
      </c>
      <c r="H40" s="4" t="s">
        <v>26</v>
      </c>
      <c r="I40" s="4" t="s">
        <v>22</v>
      </c>
      <c r="J40" s="3"/>
      <c r="K40" s="3" t="s">
        <v>23</v>
      </c>
      <c r="L40" s="4" t="s">
        <v>24</v>
      </c>
      <c r="M40" s="19"/>
      <c r="N40" s="3" t="str">
        <f>HYPERLINK("https://www.stromypodkontrolou.cz/map/tree/eb9fcfc1-f6fa-405f-85c7-690b2fb79ecd/313fbbfb-65ea-4396-92e6-ccf85e94df22")</f>
        <v>https://www.stromypodkontrolou.cz/map/tree/eb9fcfc1-f6fa-405f-85c7-690b2fb79ecd/313fbbfb-65ea-4396-92e6-ccf85e94df22</v>
      </c>
      <c r="O40" s="3" t="str">
        <f>HYPERLINK("https://www.mapy.cz?st=search&amp;fr=49.66370720 18.68562053")</f>
        <v>https://www.mapy.cz?st=search&amp;fr=49.66370720 18.68562053</v>
      </c>
    </row>
    <row r="41" spans="1:15" ht="120">
      <c r="A41" s="10">
        <v>28</v>
      </c>
      <c r="B41" s="3" t="s">
        <v>13</v>
      </c>
      <c r="C41" s="3" t="s">
        <v>126</v>
      </c>
      <c r="D41" s="4">
        <v>99</v>
      </c>
      <c r="E41" s="5" t="s">
        <v>136</v>
      </c>
      <c r="F41" s="3" t="s">
        <v>137</v>
      </c>
      <c r="G41" s="4" t="s">
        <v>25</v>
      </c>
      <c r="H41" s="4" t="s">
        <v>117</v>
      </c>
      <c r="I41" s="4" t="s">
        <v>21</v>
      </c>
      <c r="J41" s="3"/>
      <c r="K41" s="3" t="s">
        <v>23</v>
      </c>
      <c r="L41" s="4" t="s">
        <v>118</v>
      </c>
      <c r="M41" s="19"/>
      <c r="N41" s="3" t="str">
        <f>HYPERLINK("https://www.stromypodkontrolou.cz/map/tree/eb9fcfc1-f6fa-405f-85c7-690b2fb79ecd/f059cfd8-6dfe-4ec0-8e60-05befe9fdb77")</f>
        <v>https://www.stromypodkontrolou.cz/map/tree/eb9fcfc1-f6fa-405f-85c7-690b2fb79ecd/f059cfd8-6dfe-4ec0-8e60-05befe9fdb77</v>
      </c>
      <c r="O41" s="3" t="str">
        <f>HYPERLINK("https://www.mapy.cz?st=search&amp;fr=49.66433806 18.68613149")</f>
        <v>https://www.mapy.cz?st=search&amp;fr=49.66433806 18.68613149</v>
      </c>
    </row>
    <row r="42" spans="1:15" ht="120">
      <c r="A42" s="10">
        <v>29</v>
      </c>
      <c r="B42" s="3" t="s">
        <v>13</v>
      </c>
      <c r="C42" s="3" t="s">
        <v>138</v>
      </c>
      <c r="D42" s="4">
        <v>35</v>
      </c>
      <c r="E42" s="5" t="s">
        <v>76</v>
      </c>
      <c r="F42" s="3" t="s">
        <v>77</v>
      </c>
      <c r="G42" s="4" t="s">
        <v>27</v>
      </c>
      <c r="H42" s="4" t="s">
        <v>26</v>
      </c>
      <c r="I42" s="4" t="s">
        <v>22</v>
      </c>
      <c r="J42" s="3"/>
      <c r="K42" s="3" t="s">
        <v>23</v>
      </c>
      <c r="L42" s="4" t="s">
        <v>139</v>
      </c>
      <c r="M42" s="19"/>
      <c r="N42" s="3" t="str">
        <f>HYPERLINK("https://www.stromypodkontrolou.cz/map/tree/eb9fcfc1-f6fa-405f-85c7-690b2fb79ecd/9006414e-7501-42c9-98c2-6eda1500e19a")</f>
        <v>https://www.stromypodkontrolou.cz/map/tree/eb9fcfc1-f6fa-405f-85c7-690b2fb79ecd/9006414e-7501-42c9-98c2-6eda1500e19a</v>
      </c>
      <c r="O42" s="3" t="str">
        <f>HYPERLINK("https://www.mapy.cz?st=search&amp;fr=49.66405376 18.68661864")</f>
        <v>https://www.mapy.cz?st=search&amp;fr=49.66405376 18.68661864</v>
      </c>
    </row>
    <row r="43" spans="1:15" ht="120">
      <c r="A43" s="10">
        <v>30</v>
      </c>
      <c r="B43" s="3" t="s">
        <v>13</v>
      </c>
      <c r="C43" s="3" t="s">
        <v>140</v>
      </c>
      <c r="D43" s="4">
        <v>433</v>
      </c>
      <c r="E43" s="5" t="s">
        <v>123</v>
      </c>
      <c r="F43" s="3" t="s">
        <v>124</v>
      </c>
      <c r="G43" s="4" t="s">
        <v>141</v>
      </c>
      <c r="H43" s="4" t="s">
        <v>69</v>
      </c>
      <c r="I43" s="4" t="s">
        <v>25</v>
      </c>
      <c r="J43" s="3"/>
      <c r="K43" s="3" t="s">
        <v>38</v>
      </c>
      <c r="L43" s="4" t="s">
        <v>142</v>
      </c>
      <c r="M43" s="19"/>
      <c r="N43" s="3" t="str">
        <f>HYPERLINK("https://www.stromypodkontrolou.cz/map/tree/eb9fcfc1-f6fa-405f-85c7-690b2fb79ecd/2f418a42-682b-4722-b7c1-fecacc951d99")</f>
        <v>https://www.stromypodkontrolou.cz/map/tree/eb9fcfc1-f6fa-405f-85c7-690b2fb79ecd/2f418a42-682b-4722-b7c1-fecacc951d99</v>
      </c>
      <c r="O43" s="3" t="str">
        <f>HYPERLINK("https://www.mapy.cz?st=search&amp;fr=49.67762852 18.68795257")</f>
        <v>https://www.mapy.cz?st=search&amp;fr=49.67762852 18.68795257</v>
      </c>
    </row>
    <row r="44" spans="1:15" ht="120">
      <c r="A44" s="10">
        <v>31</v>
      </c>
      <c r="B44" s="3" t="s">
        <v>13</v>
      </c>
      <c r="C44" s="3" t="s">
        <v>140</v>
      </c>
      <c r="D44" s="4">
        <v>588</v>
      </c>
      <c r="E44" s="5" t="s">
        <v>123</v>
      </c>
      <c r="F44" s="3" t="s">
        <v>124</v>
      </c>
      <c r="G44" s="4" t="s">
        <v>74</v>
      </c>
      <c r="H44" s="4" t="s">
        <v>32</v>
      </c>
      <c r="I44" s="4" t="s">
        <v>99</v>
      </c>
      <c r="J44" s="3"/>
      <c r="K44" s="3" t="s">
        <v>36</v>
      </c>
      <c r="L44" s="4" t="s">
        <v>53</v>
      </c>
      <c r="M44" s="19"/>
      <c r="N44" s="3" t="str">
        <f>HYPERLINK("https://www.stromypodkontrolou.cz/map/tree/eb9fcfc1-f6fa-405f-85c7-690b2fb79ecd/60f33476-926b-4d5b-8d3c-8bcae09dc981")</f>
        <v>https://www.stromypodkontrolou.cz/map/tree/eb9fcfc1-f6fa-405f-85c7-690b2fb79ecd/60f33476-926b-4d5b-8d3c-8bcae09dc981</v>
      </c>
      <c r="O44" s="3" t="str">
        <f>HYPERLINK("https://www.mapy.cz?st=search&amp;fr=49.67869047 18.68388855")</f>
        <v>https://www.mapy.cz?st=search&amp;fr=49.67869047 18.68388855</v>
      </c>
    </row>
    <row r="45" spans="1:15" ht="120">
      <c r="A45" s="10">
        <v>32</v>
      </c>
      <c r="B45" s="3" t="s">
        <v>13</v>
      </c>
      <c r="C45" s="3" t="s">
        <v>140</v>
      </c>
      <c r="D45" s="4">
        <v>705</v>
      </c>
      <c r="E45" s="5" t="s">
        <v>143</v>
      </c>
      <c r="F45" s="3" t="s">
        <v>144</v>
      </c>
      <c r="G45" s="4" t="s">
        <v>145</v>
      </c>
      <c r="H45" s="4" t="s">
        <v>43</v>
      </c>
      <c r="I45" s="4" t="s">
        <v>34</v>
      </c>
      <c r="J45" s="3" t="s">
        <v>146</v>
      </c>
      <c r="K45" s="3" t="s">
        <v>38</v>
      </c>
      <c r="L45" s="4" t="s">
        <v>73</v>
      </c>
      <c r="M45" s="19"/>
      <c r="N45" s="3" t="str">
        <f>HYPERLINK("https://www.stromypodkontrolou.cz/map/tree/eb9fcfc1-f6fa-405f-85c7-690b2fb79ecd/7dd3d921-0331-4742-9a00-fe44cdefe546")</f>
        <v>https://www.stromypodkontrolou.cz/map/tree/eb9fcfc1-f6fa-405f-85c7-690b2fb79ecd/7dd3d921-0331-4742-9a00-fe44cdefe546</v>
      </c>
      <c r="O45" s="3" t="str">
        <f>HYPERLINK("https://www.mapy.cz?st=search&amp;fr=49.68072384 18.68052613")</f>
        <v>https://www.mapy.cz?st=search&amp;fr=49.68072384 18.68052613</v>
      </c>
    </row>
    <row r="46" spans="1:15" ht="120">
      <c r="A46" s="10">
        <v>33</v>
      </c>
      <c r="B46" s="3" t="s">
        <v>13</v>
      </c>
      <c r="C46" s="3" t="s">
        <v>140</v>
      </c>
      <c r="D46" s="4">
        <v>739</v>
      </c>
      <c r="E46" s="5" t="s">
        <v>147</v>
      </c>
      <c r="F46" s="3" t="s">
        <v>148</v>
      </c>
      <c r="G46" s="4" t="s">
        <v>17</v>
      </c>
      <c r="H46" s="4" t="s">
        <v>117</v>
      </c>
      <c r="I46" s="4" t="s">
        <v>20</v>
      </c>
      <c r="J46" s="3"/>
      <c r="K46" s="3" t="s">
        <v>89</v>
      </c>
      <c r="L46" s="4" t="s">
        <v>149</v>
      </c>
      <c r="M46" s="19"/>
      <c r="N46" s="3" t="str">
        <f>HYPERLINK("https://www.stromypodkontrolou.cz/map/tree/eb9fcfc1-f6fa-405f-85c7-690b2fb79ecd/f4163afb-1779-4cab-a514-1ec5aa9ae392")</f>
        <v>https://www.stromypodkontrolou.cz/map/tree/eb9fcfc1-f6fa-405f-85c7-690b2fb79ecd/f4163afb-1779-4cab-a514-1ec5aa9ae392</v>
      </c>
      <c r="O46" s="3" t="str">
        <f>HYPERLINK("https://www.mapy.cz?st=search&amp;fr=49.68025981 18.67974574")</f>
        <v>https://www.mapy.cz?st=search&amp;fr=49.68025981 18.67974574</v>
      </c>
    </row>
    <row r="47" spans="1:15" ht="36">
      <c r="A47" s="16">
        <v>34</v>
      </c>
      <c r="B47" s="13" t="s">
        <v>13</v>
      </c>
      <c r="C47" s="13" t="s">
        <v>157</v>
      </c>
      <c r="D47" s="18">
        <v>77</v>
      </c>
      <c r="E47" s="15" t="s">
        <v>40</v>
      </c>
      <c r="F47" s="13" t="s">
        <v>41</v>
      </c>
      <c r="G47" s="18" t="s">
        <v>85</v>
      </c>
      <c r="H47" s="18" t="s">
        <v>43</v>
      </c>
      <c r="I47" s="18" t="s">
        <v>87</v>
      </c>
      <c r="J47" s="13" t="s">
        <v>70</v>
      </c>
      <c r="K47" s="3" t="s">
        <v>71</v>
      </c>
      <c r="L47" s="4" t="s">
        <v>158</v>
      </c>
      <c r="M47" s="19"/>
      <c r="N47" s="13" t="str">
        <f>HYPERLINK("https://www.stromypodkontrolou.cz/map/tree/eb9fcfc1-f6fa-405f-85c7-690b2fb79ecd/c64141c6-22b5-434b-9753-2ca9aac91b04")</f>
        <v>https://www.stromypodkontrolou.cz/map/tree/eb9fcfc1-f6fa-405f-85c7-690b2fb79ecd/c64141c6-22b5-434b-9753-2ca9aac91b04</v>
      </c>
      <c r="O47" s="13" t="str">
        <f>HYPERLINK("https://www.mapy.cz?st=search&amp;fr=49.66361738 18.68175438")</f>
        <v>https://www.mapy.cz?st=search&amp;fr=49.66361738 18.68175438</v>
      </c>
    </row>
    <row r="48" spans="1:15" ht="12.75">
      <c r="A48" s="16"/>
      <c r="B48" s="13"/>
      <c r="C48" s="13"/>
      <c r="D48" s="18"/>
      <c r="E48" s="15"/>
      <c r="F48" s="13"/>
      <c r="G48" s="18"/>
      <c r="H48" s="18"/>
      <c r="I48" s="18"/>
      <c r="J48" s="13"/>
      <c r="K48" s="3" t="s">
        <v>38</v>
      </c>
      <c r="L48" s="4" t="s">
        <v>159</v>
      </c>
      <c r="M48" s="19"/>
      <c r="N48" s="13"/>
      <c r="O48" s="13"/>
    </row>
    <row r="49" spans="1:15" ht="36">
      <c r="A49" s="16"/>
      <c r="B49" s="13"/>
      <c r="C49" s="13"/>
      <c r="D49" s="18"/>
      <c r="E49" s="15"/>
      <c r="F49" s="13"/>
      <c r="G49" s="18"/>
      <c r="H49" s="18"/>
      <c r="I49" s="18"/>
      <c r="J49" s="13"/>
      <c r="K49" s="3" t="s">
        <v>36</v>
      </c>
      <c r="L49" s="4" t="s">
        <v>53</v>
      </c>
      <c r="M49" s="19"/>
      <c r="N49" s="13"/>
      <c r="O49" s="13"/>
    </row>
    <row r="50" spans="1:15" ht="36">
      <c r="A50" s="16">
        <v>35</v>
      </c>
      <c r="B50" s="13" t="s">
        <v>13</v>
      </c>
      <c r="C50" s="13" t="s">
        <v>157</v>
      </c>
      <c r="D50" s="18">
        <v>106</v>
      </c>
      <c r="E50" s="15" t="s">
        <v>160</v>
      </c>
      <c r="F50" s="13" t="s">
        <v>161</v>
      </c>
      <c r="G50" s="18" t="s">
        <v>162</v>
      </c>
      <c r="H50" s="18" t="s">
        <v>43</v>
      </c>
      <c r="I50" s="18" t="s">
        <v>152</v>
      </c>
      <c r="J50" s="13" t="s">
        <v>163</v>
      </c>
      <c r="K50" s="3" t="s">
        <v>36</v>
      </c>
      <c r="L50" s="4" t="s">
        <v>164</v>
      </c>
      <c r="M50" s="19"/>
      <c r="N50" s="13" t="str">
        <f>HYPERLINK("https://www.stromypodkontrolou.cz/map/tree/eb9fcfc1-f6fa-405f-85c7-690b2fb79ecd/84ec02ab-1490-4e5b-9aee-417878058ee2")</f>
        <v>https://www.stromypodkontrolou.cz/map/tree/eb9fcfc1-f6fa-405f-85c7-690b2fb79ecd/84ec02ab-1490-4e5b-9aee-417878058ee2</v>
      </c>
      <c r="O50" s="13" t="str">
        <f>HYPERLINK("https://www.mapy.cz?st=search&amp;fr=49.66334329 18.68225027")</f>
        <v>https://www.mapy.cz?st=search&amp;fr=49.66334329 18.68225027</v>
      </c>
    </row>
    <row r="51" spans="1:15" ht="12.75">
      <c r="A51" s="16"/>
      <c r="B51" s="13"/>
      <c r="C51" s="13"/>
      <c r="D51" s="18"/>
      <c r="E51" s="15"/>
      <c r="F51" s="13"/>
      <c r="G51" s="18"/>
      <c r="H51" s="18"/>
      <c r="I51" s="18"/>
      <c r="J51" s="13"/>
      <c r="K51" s="3" t="s">
        <v>129</v>
      </c>
      <c r="L51" s="4" t="s">
        <v>164</v>
      </c>
      <c r="M51" s="19"/>
      <c r="N51" s="13"/>
      <c r="O51" s="13"/>
    </row>
    <row r="52" spans="1:15" ht="120">
      <c r="A52" s="10">
        <v>36</v>
      </c>
      <c r="B52" s="3" t="s">
        <v>13</v>
      </c>
      <c r="C52" s="3" t="s">
        <v>165</v>
      </c>
      <c r="D52" s="4">
        <v>6</v>
      </c>
      <c r="E52" s="5" t="s">
        <v>166</v>
      </c>
      <c r="F52" s="3" t="s">
        <v>167</v>
      </c>
      <c r="G52" s="4" t="s">
        <v>96</v>
      </c>
      <c r="H52" s="4" t="s">
        <v>49</v>
      </c>
      <c r="I52" s="4" t="s">
        <v>65</v>
      </c>
      <c r="J52" s="3"/>
      <c r="K52" s="3" t="s">
        <v>71</v>
      </c>
      <c r="L52" s="4" t="s">
        <v>169</v>
      </c>
      <c r="M52" s="19"/>
      <c r="N52" s="3" t="str">
        <f>HYPERLINK("https://www.stromypodkontrolou.cz/map/tree/eb9fcfc1-f6fa-405f-85c7-690b2fb79ecd/38c7328c-eda0-4c3b-bea9-d75fab096782")</f>
        <v>https://www.stromypodkontrolou.cz/map/tree/eb9fcfc1-f6fa-405f-85c7-690b2fb79ecd/38c7328c-eda0-4c3b-bea9-d75fab096782</v>
      </c>
      <c r="O52" s="3" t="str">
        <f>HYPERLINK("https://www.mapy.cz?st=search&amp;fr=49.66236079 18.68259482")</f>
        <v>https://www.mapy.cz?st=search&amp;fr=49.66236079 18.68259482</v>
      </c>
    </row>
    <row r="53" spans="1:15" ht="12.75" customHeight="1">
      <c r="A53" s="16">
        <v>37</v>
      </c>
      <c r="B53" s="13" t="s">
        <v>13</v>
      </c>
      <c r="C53" s="13" t="s">
        <v>170</v>
      </c>
      <c r="D53" s="18">
        <v>40</v>
      </c>
      <c r="E53" s="15" t="s">
        <v>40</v>
      </c>
      <c r="F53" s="13" t="s">
        <v>41</v>
      </c>
      <c r="G53" s="18" t="s">
        <v>171</v>
      </c>
      <c r="H53" s="18" t="s">
        <v>62</v>
      </c>
      <c r="I53" s="18" t="s">
        <v>99</v>
      </c>
      <c r="J53" s="13" t="s">
        <v>172</v>
      </c>
      <c r="K53" s="3" t="s">
        <v>38</v>
      </c>
      <c r="L53" s="4" t="s">
        <v>108</v>
      </c>
      <c r="M53" s="19"/>
      <c r="N53" s="13" t="str">
        <f>HYPERLINK("https://www.stromypodkontrolou.cz/map/tree/eb9fcfc1-f6fa-405f-85c7-690b2fb79ecd/4469888d-3c39-4330-8fc3-3b474b90ac69")</f>
        <v>https://www.stromypodkontrolou.cz/map/tree/eb9fcfc1-f6fa-405f-85c7-690b2fb79ecd/4469888d-3c39-4330-8fc3-3b474b90ac69</v>
      </c>
      <c r="O53" s="13" t="str">
        <f>HYPERLINK("https://www.mapy.cz?st=search&amp;fr=49.66650551 18.67986739")</f>
        <v>https://www.mapy.cz?st=search&amp;fr=49.66650551 18.67986739</v>
      </c>
    </row>
    <row r="54" spans="1:15" ht="36">
      <c r="A54" s="16"/>
      <c r="B54" s="13"/>
      <c r="C54" s="13"/>
      <c r="D54" s="18"/>
      <c r="E54" s="15"/>
      <c r="F54" s="13"/>
      <c r="G54" s="18"/>
      <c r="H54" s="18"/>
      <c r="I54" s="18"/>
      <c r="J54" s="13"/>
      <c r="K54" s="3" t="s">
        <v>36</v>
      </c>
      <c r="L54" s="4" t="s">
        <v>60</v>
      </c>
      <c r="M54" s="19"/>
      <c r="N54" s="13"/>
      <c r="O54" s="13"/>
    </row>
    <row r="55" spans="1:15" ht="36">
      <c r="A55" s="16"/>
      <c r="B55" s="13"/>
      <c r="C55" s="13"/>
      <c r="D55" s="18"/>
      <c r="E55" s="15"/>
      <c r="F55" s="13"/>
      <c r="G55" s="18"/>
      <c r="H55" s="18"/>
      <c r="I55" s="18"/>
      <c r="J55" s="13"/>
      <c r="K55" s="3" t="s">
        <v>89</v>
      </c>
      <c r="L55" s="4" t="s">
        <v>173</v>
      </c>
      <c r="M55" s="19"/>
      <c r="N55" s="13"/>
      <c r="O55" s="13"/>
    </row>
    <row r="56" spans="1:15" ht="120">
      <c r="A56" s="10">
        <v>38</v>
      </c>
      <c r="B56" s="3" t="s">
        <v>13</v>
      </c>
      <c r="C56" s="3" t="s">
        <v>174</v>
      </c>
      <c r="D56" s="4">
        <v>61</v>
      </c>
      <c r="E56" s="5" t="s">
        <v>175</v>
      </c>
      <c r="F56" s="3" t="s">
        <v>176</v>
      </c>
      <c r="G56" s="4" t="s">
        <v>177</v>
      </c>
      <c r="H56" s="4" t="s">
        <v>178</v>
      </c>
      <c r="I56" s="4" t="s">
        <v>87</v>
      </c>
      <c r="J56" s="3" t="s">
        <v>172</v>
      </c>
      <c r="K56" s="3" t="s">
        <v>89</v>
      </c>
      <c r="L56" s="4" t="s">
        <v>179</v>
      </c>
      <c r="M56" s="19"/>
      <c r="N56" s="3" t="str">
        <f>HYPERLINK("https://www.stromypodkontrolou.cz/map/tree/eb9fcfc1-f6fa-405f-85c7-690b2fb79ecd/768895fa-0b56-4bca-b62a-f8abb6643864")</f>
        <v>https://www.stromypodkontrolou.cz/map/tree/eb9fcfc1-f6fa-405f-85c7-690b2fb79ecd/768895fa-0b56-4bca-b62a-f8abb6643864</v>
      </c>
      <c r="O56" s="3" t="str">
        <f>HYPERLINK("https://www.mapy.cz?st=search&amp;fr=49.66489010 18.67919344")</f>
        <v>https://www.mapy.cz?st=search&amp;fr=49.66489010 18.67919344</v>
      </c>
    </row>
    <row r="57" spans="1:15" ht="120">
      <c r="A57" s="10">
        <v>39</v>
      </c>
      <c r="B57" s="3" t="s">
        <v>13</v>
      </c>
      <c r="C57" s="3" t="s">
        <v>174</v>
      </c>
      <c r="D57" s="4">
        <v>68</v>
      </c>
      <c r="E57" s="5" t="s">
        <v>40</v>
      </c>
      <c r="F57" s="3" t="s">
        <v>41</v>
      </c>
      <c r="G57" s="4" t="s">
        <v>96</v>
      </c>
      <c r="H57" s="4" t="s">
        <v>62</v>
      </c>
      <c r="I57" s="4" t="s">
        <v>99</v>
      </c>
      <c r="J57" s="3" t="s">
        <v>172</v>
      </c>
      <c r="K57" s="3" t="s">
        <v>89</v>
      </c>
      <c r="L57" s="4" t="s">
        <v>173</v>
      </c>
      <c r="M57" s="19"/>
      <c r="N57" s="3" t="str">
        <f>HYPERLINK("https://www.stromypodkontrolou.cz/map/tree/eb9fcfc1-f6fa-405f-85c7-690b2fb79ecd/217a1395-2a3d-4de0-b934-88b847300247")</f>
        <v>https://www.stromypodkontrolou.cz/map/tree/eb9fcfc1-f6fa-405f-85c7-690b2fb79ecd/217a1395-2a3d-4de0-b934-88b847300247</v>
      </c>
      <c r="O57" s="3" t="str">
        <f>HYPERLINK("https://www.mapy.cz?st=search&amp;fr=49.66500264 18.67908381")</f>
        <v>https://www.mapy.cz?st=search&amp;fr=49.66500264 18.67908381</v>
      </c>
    </row>
    <row r="58" spans="1:15" ht="36">
      <c r="A58" s="16">
        <v>40</v>
      </c>
      <c r="B58" s="13" t="s">
        <v>13</v>
      </c>
      <c r="C58" s="13" t="s">
        <v>174</v>
      </c>
      <c r="D58" s="18">
        <v>105</v>
      </c>
      <c r="E58" s="15" t="s">
        <v>180</v>
      </c>
      <c r="F58" s="13" t="s">
        <v>181</v>
      </c>
      <c r="G58" s="18" t="s">
        <v>68</v>
      </c>
      <c r="H58" s="18" t="s">
        <v>182</v>
      </c>
      <c r="I58" s="18" t="s">
        <v>99</v>
      </c>
      <c r="J58" s="13" t="s">
        <v>183</v>
      </c>
      <c r="K58" s="3" t="s">
        <v>89</v>
      </c>
      <c r="L58" s="4" t="s">
        <v>179</v>
      </c>
      <c r="M58" s="19"/>
      <c r="N58" s="13" t="str">
        <f>HYPERLINK("https://www.stromypodkontrolou.cz/map/tree/eb9fcfc1-f6fa-405f-85c7-690b2fb79ecd/f98c68ad-f59c-4e63-a06b-09a8db32ca19")</f>
        <v>https://www.stromypodkontrolou.cz/map/tree/eb9fcfc1-f6fa-405f-85c7-690b2fb79ecd/f98c68ad-f59c-4e63-a06b-09a8db32ca19</v>
      </c>
      <c r="O58" s="13" t="str">
        <f>HYPERLINK("https://www.mapy.cz?st=search&amp;fr=49.66600308 18.67744251")</f>
        <v>https://www.mapy.cz?st=search&amp;fr=49.66600308 18.67744251</v>
      </c>
    </row>
    <row r="59" spans="1:15" ht="36">
      <c r="A59" s="16"/>
      <c r="B59" s="13"/>
      <c r="C59" s="13"/>
      <c r="D59" s="18"/>
      <c r="E59" s="15"/>
      <c r="F59" s="13"/>
      <c r="G59" s="18"/>
      <c r="H59" s="18"/>
      <c r="I59" s="18"/>
      <c r="J59" s="13"/>
      <c r="K59" s="3" t="s">
        <v>38</v>
      </c>
      <c r="L59" s="4" t="s">
        <v>184</v>
      </c>
      <c r="M59" s="19"/>
      <c r="N59" s="13"/>
      <c r="O59" s="13"/>
    </row>
    <row r="60" spans="1:15" ht="120">
      <c r="A60" s="10">
        <v>41</v>
      </c>
      <c r="B60" s="3" t="s">
        <v>13</v>
      </c>
      <c r="C60" s="3" t="s">
        <v>174</v>
      </c>
      <c r="D60" s="4">
        <v>121</v>
      </c>
      <c r="E60" s="5" t="s">
        <v>185</v>
      </c>
      <c r="F60" s="3" t="s">
        <v>186</v>
      </c>
      <c r="G60" s="4" t="s">
        <v>152</v>
      </c>
      <c r="H60" s="4" t="s">
        <v>18</v>
      </c>
      <c r="I60" s="4" t="s">
        <v>50</v>
      </c>
      <c r="J60" s="3" t="s">
        <v>187</v>
      </c>
      <c r="K60" s="3" t="s">
        <v>89</v>
      </c>
      <c r="L60" s="4" t="s">
        <v>149</v>
      </c>
      <c r="M60" s="19"/>
      <c r="N60" s="3" t="str">
        <f>HYPERLINK("https://www.stromypodkontrolou.cz/map/tree/eb9fcfc1-f6fa-405f-85c7-690b2fb79ecd/2e3e2a4c-826d-4143-859d-c30c8b47f784")</f>
        <v>https://www.stromypodkontrolou.cz/map/tree/eb9fcfc1-f6fa-405f-85c7-690b2fb79ecd/2e3e2a4c-826d-4143-859d-c30c8b47f784</v>
      </c>
      <c r="O60" s="3" t="str">
        <f>HYPERLINK("https://www.mapy.cz?st=search&amp;fr=49.66631562 18.67837286")</f>
        <v>https://www.mapy.cz?st=search&amp;fr=49.66631562 18.67837286</v>
      </c>
    </row>
    <row r="61" spans="1:15" ht="120">
      <c r="A61" s="10">
        <v>42</v>
      </c>
      <c r="B61" s="3" t="s">
        <v>13</v>
      </c>
      <c r="C61" s="3" t="s">
        <v>174</v>
      </c>
      <c r="D61" s="4">
        <v>123</v>
      </c>
      <c r="E61" s="5" t="s">
        <v>188</v>
      </c>
      <c r="F61" s="3" t="s">
        <v>189</v>
      </c>
      <c r="G61" s="4" t="s">
        <v>145</v>
      </c>
      <c r="H61" s="4" t="s">
        <v>69</v>
      </c>
      <c r="I61" s="4" t="s">
        <v>50</v>
      </c>
      <c r="J61" s="3" t="s">
        <v>190</v>
      </c>
      <c r="K61" s="3" t="s">
        <v>71</v>
      </c>
      <c r="L61" s="4" t="s">
        <v>191</v>
      </c>
      <c r="M61" s="19"/>
      <c r="N61" s="3" t="str">
        <f>HYPERLINK("https://www.stromypodkontrolou.cz/map/tree/eb9fcfc1-f6fa-405f-85c7-690b2fb79ecd/08458507-ce19-458b-91bf-a68407a847f7")</f>
        <v>https://www.stromypodkontrolou.cz/map/tree/eb9fcfc1-f6fa-405f-85c7-690b2fb79ecd/08458507-ce19-458b-91bf-a68407a847f7</v>
      </c>
      <c r="O61" s="3" t="str">
        <f>HYPERLINK("https://www.mapy.cz?st=search&amp;fr=49.66624740 18.67817716")</f>
        <v>https://www.mapy.cz?st=search&amp;fr=49.66624740 18.67817716</v>
      </c>
    </row>
    <row r="62" spans="1:15" ht="120">
      <c r="A62" s="10">
        <v>43</v>
      </c>
      <c r="B62" s="3" t="s">
        <v>13</v>
      </c>
      <c r="C62" s="3" t="s">
        <v>174</v>
      </c>
      <c r="D62" s="4">
        <v>129</v>
      </c>
      <c r="E62" s="5" t="s">
        <v>175</v>
      </c>
      <c r="F62" s="3" t="s">
        <v>176</v>
      </c>
      <c r="G62" s="4" t="s">
        <v>27</v>
      </c>
      <c r="H62" s="4" t="s">
        <v>18</v>
      </c>
      <c r="I62" s="4" t="s">
        <v>21</v>
      </c>
      <c r="J62" s="3"/>
      <c r="K62" s="3" t="s">
        <v>23</v>
      </c>
      <c r="L62" s="4" t="s">
        <v>24</v>
      </c>
      <c r="M62" s="19"/>
      <c r="N62" s="3" t="str">
        <f>HYPERLINK("https://www.stromypodkontrolou.cz/map/tree/eb9fcfc1-f6fa-405f-85c7-690b2fb79ecd/4fef0deb-cdd8-4e4b-bf5e-087b4f9a19bb")</f>
        <v>https://www.stromypodkontrolou.cz/map/tree/eb9fcfc1-f6fa-405f-85c7-690b2fb79ecd/4fef0deb-cdd8-4e4b-bf5e-087b4f9a19bb</v>
      </c>
      <c r="O62" s="3" t="str">
        <f>HYPERLINK("https://www.mapy.cz?st=search&amp;fr=49.66587144 18.67832425")</f>
        <v>https://www.mapy.cz?st=search&amp;fr=49.66587144 18.67832425</v>
      </c>
    </row>
    <row r="63" spans="1:15" ht="120">
      <c r="A63" s="10">
        <v>44</v>
      </c>
      <c r="B63" s="3" t="s">
        <v>13</v>
      </c>
      <c r="C63" s="3" t="s">
        <v>174</v>
      </c>
      <c r="D63" s="4">
        <v>130</v>
      </c>
      <c r="E63" s="5" t="s">
        <v>76</v>
      </c>
      <c r="F63" s="3" t="s">
        <v>77</v>
      </c>
      <c r="G63" s="4" t="s">
        <v>34</v>
      </c>
      <c r="H63" s="4" t="s">
        <v>18</v>
      </c>
      <c r="I63" s="4" t="s">
        <v>21</v>
      </c>
      <c r="J63" s="3"/>
      <c r="K63" s="3" t="s">
        <v>23</v>
      </c>
      <c r="L63" s="4" t="s">
        <v>24</v>
      </c>
      <c r="M63" s="19"/>
      <c r="N63" s="3" t="str">
        <f>HYPERLINK("https://www.stromypodkontrolou.cz/map/tree/eb9fcfc1-f6fa-405f-85c7-690b2fb79ecd/172b2778-bd36-4585-b313-24de63641cec")</f>
        <v>https://www.stromypodkontrolou.cz/map/tree/eb9fcfc1-f6fa-405f-85c7-690b2fb79ecd/172b2778-bd36-4585-b313-24de63641cec</v>
      </c>
      <c r="O63" s="3" t="str">
        <f>HYPERLINK("https://www.mapy.cz?st=search&amp;fr=49.66598440 18.67820731")</f>
        <v>https://www.mapy.cz?st=search&amp;fr=49.66598440 18.67820731</v>
      </c>
    </row>
    <row r="64" spans="1:15" ht="120">
      <c r="A64" s="10">
        <v>45</v>
      </c>
      <c r="B64" s="3" t="s">
        <v>13</v>
      </c>
      <c r="C64" s="3" t="s">
        <v>192</v>
      </c>
      <c r="D64" s="4">
        <v>31</v>
      </c>
      <c r="E64" s="5" t="s">
        <v>76</v>
      </c>
      <c r="F64" s="3" t="s">
        <v>77</v>
      </c>
      <c r="G64" s="4" t="s">
        <v>105</v>
      </c>
      <c r="H64" s="4" t="s">
        <v>193</v>
      </c>
      <c r="I64" s="4" t="s">
        <v>99</v>
      </c>
      <c r="J64" s="3" t="s">
        <v>194</v>
      </c>
      <c r="K64" s="3" t="s">
        <v>38</v>
      </c>
      <c r="L64" s="4" t="s">
        <v>195</v>
      </c>
      <c r="M64" s="19"/>
      <c r="N64" s="3" t="str">
        <f>HYPERLINK("https://www.stromypodkontrolou.cz/map/tree/eb9fcfc1-f6fa-405f-85c7-690b2fb79ecd/dd507268-bb4f-45fc-aca7-950e776b8008")</f>
        <v>https://www.stromypodkontrolou.cz/map/tree/eb9fcfc1-f6fa-405f-85c7-690b2fb79ecd/dd507268-bb4f-45fc-aca7-950e776b8008</v>
      </c>
      <c r="O64" s="3" t="str">
        <f>HYPERLINK("https://www.mapy.cz?st=search&amp;fr=49.66756558 18.67949988")</f>
        <v>https://www.mapy.cz?st=search&amp;fr=49.66756558 18.67949988</v>
      </c>
    </row>
    <row r="65" spans="1:15" ht="120">
      <c r="A65" s="10">
        <v>46</v>
      </c>
      <c r="B65" s="3" t="s">
        <v>13</v>
      </c>
      <c r="C65" s="3" t="s">
        <v>192</v>
      </c>
      <c r="D65" s="4">
        <v>33</v>
      </c>
      <c r="E65" s="5" t="s">
        <v>40</v>
      </c>
      <c r="F65" s="3" t="s">
        <v>41</v>
      </c>
      <c r="G65" s="4" t="s">
        <v>162</v>
      </c>
      <c r="H65" s="4" t="s">
        <v>193</v>
      </c>
      <c r="I65" s="4" t="s">
        <v>87</v>
      </c>
      <c r="J65" s="3" t="s">
        <v>196</v>
      </c>
      <c r="K65" s="3" t="s">
        <v>197</v>
      </c>
      <c r="L65" s="4" t="s">
        <v>198</v>
      </c>
      <c r="M65" s="19"/>
      <c r="N65" s="3" t="str">
        <f>HYPERLINK("https://www.stromypodkontrolou.cz/map/tree/eb9fcfc1-f6fa-405f-85c7-690b2fb79ecd/4aad96d3-e4f2-42f0-954a-69f6bff9f551")</f>
        <v>https://www.stromypodkontrolou.cz/map/tree/eb9fcfc1-f6fa-405f-85c7-690b2fb79ecd/4aad96d3-e4f2-42f0-954a-69f6bff9f551</v>
      </c>
      <c r="O65" s="3" t="str">
        <f>HYPERLINK("https://www.mapy.cz?st=search&amp;fr=49.66749834 18.67956159")</f>
        <v>https://www.mapy.cz?st=search&amp;fr=49.66749834 18.67956159</v>
      </c>
    </row>
    <row r="66" spans="1:15" ht="120">
      <c r="A66" s="10">
        <v>47</v>
      </c>
      <c r="B66" s="3" t="s">
        <v>13</v>
      </c>
      <c r="C66" s="3" t="s">
        <v>192</v>
      </c>
      <c r="D66" s="4">
        <v>94</v>
      </c>
      <c r="E66" s="5" t="s">
        <v>175</v>
      </c>
      <c r="F66" s="3" t="s">
        <v>176</v>
      </c>
      <c r="G66" s="4" t="s">
        <v>50</v>
      </c>
      <c r="H66" s="4" t="s">
        <v>26</v>
      </c>
      <c r="I66" s="4" t="s">
        <v>22</v>
      </c>
      <c r="J66" s="3"/>
      <c r="K66" s="3" t="s">
        <v>23</v>
      </c>
      <c r="L66" s="4" t="s">
        <v>24</v>
      </c>
      <c r="M66" s="19"/>
      <c r="N66" s="3" t="str">
        <f>HYPERLINK("https://www.stromypodkontrolou.cz/map/tree/eb9fcfc1-f6fa-405f-85c7-690b2fb79ecd/fed5297c-366e-41f6-a443-fe6a3e48987a")</f>
        <v>https://www.stromypodkontrolou.cz/map/tree/eb9fcfc1-f6fa-405f-85c7-690b2fb79ecd/fed5297c-366e-41f6-a443-fe6a3e48987a</v>
      </c>
      <c r="O66" s="3" t="str">
        <f>HYPERLINK("https://www.mapy.cz?st=search&amp;fr=49.66859235 18.67865528")</f>
        <v>https://www.mapy.cz?st=search&amp;fr=49.66859235 18.67865528</v>
      </c>
    </row>
    <row r="67" spans="1:15" ht="120">
      <c r="A67" s="10">
        <v>48</v>
      </c>
      <c r="B67" s="3" t="s">
        <v>13</v>
      </c>
      <c r="C67" s="3" t="s">
        <v>199</v>
      </c>
      <c r="D67" s="4">
        <v>18</v>
      </c>
      <c r="E67" s="5" t="s">
        <v>91</v>
      </c>
      <c r="F67" s="3" t="s">
        <v>92</v>
      </c>
      <c r="G67" s="4" t="s">
        <v>162</v>
      </c>
      <c r="H67" s="4" t="s">
        <v>79</v>
      </c>
      <c r="I67" s="4" t="s">
        <v>65</v>
      </c>
      <c r="J67" s="3"/>
      <c r="K67" s="3" t="s">
        <v>129</v>
      </c>
      <c r="L67" s="4" t="s">
        <v>60</v>
      </c>
      <c r="M67" s="19"/>
      <c r="N67" s="3" t="str">
        <f>HYPERLINK("https://www.stromypodkontrolou.cz/map/tree/eb9fcfc1-f6fa-405f-85c7-690b2fb79ecd/308470e8-bcf4-47c9-bcd3-ad34a060a564")</f>
        <v>https://www.stromypodkontrolou.cz/map/tree/eb9fcfc1-f6fa-405f-85c7-690b2fb79ecd/308470e8-bcf4-47c9-bcd3-ad34a060a564</v>
      </c>
      <c r="O67" s="3" t="str">
        <f>HYPERLINK("https://www.mapy.cz?st=search&amp;fr=49.66535143 18.68029217")</f>
        <v>https://www.mapy.cz?st=search&amp;fr=49.66535143 18.68029217</v>
      </c>
    </row>
    <row r="68" spans="1:15" ht="120">
      <c r="A68" s="10">
        <v>49</v>
      </c>
      <c r="B68" s="3" t="s">
        <v>13</v>
      </c>
      <c r="C68" s="3" t="s">
        <v>199</v>
      </c>
      <c r="D68" s="4">
        <v>45</v>
      </c>
      <c r="E68" s="5" t="s">
        <v>91</v>
      </c>
      <c r="F68" s="3" t="s">
        <v>92</v>
      </c>
      <c r="G68" s="4" t="s">
        <v>200</v>
      </c>
      <c r="H68" s="4" t="s">
        <v>86</v>
      </c>
      <c r="I68" s="4" t="s">
        <v>17</v>
      </c>
      <c r="J68" s="3" t="s">
        <v>201</v>
      </c>
      <c r="K68" s="3" t="s">
        <v>36</v>
      </c>
      <c r="L68" s="4" t="s">
        <v>202</v>
      </c>
      <c r="M68" s="19"/>
      <c r="N68" s="3" t="str">
        <f>HYPERLINK("https://www.stromypodkontrolou.cz/map/tree/eb9fcfc1-f6fa-405f-85c7-690b2fb79ecd/a161ef9c-228c-44fd-948c-c0d862d60700")</f>
        <v>https://www.stromypodkontrolou.cz/map/tree/eb9fcfc1-f6fa-405f-85c7-690b2fb79ecd/a161ef9c-228c-44fd-948c-c0d862d60700</v>
      </c>
      <c r="O68" s="3" t="str">
        <f>HYPERLINK("https://www.mapy.cz?st=search&amp;fr=49.66412114 18.68155362")</f>
        <v>https://www.mapy.cz?st=search&amp;fr=49.66412114 18.68155362</v>
      </c>
    </row>
    <row r="69" spans="1:15" ht="120">
      <c r="A69" s="10">
        <v>50</v>
      </c>
      <c r="B69" s="3" t="s">
        <v>13</v>
      </c>
      <c r="C69" s="3" t="s">
        <v>199</v>
      </c>
      <c r="D69" s="4">
        <v>48</v>
      </c>
      <c r="E69" s="5" t="s">
        <v>91</v>
      </c>
      <c r="F69" s="3" t="s">
        <v>92</v>
      </c>
      <c r="G69" s="4" t="s">
        <v>48</v>
      </c>
      <c r="H69" s="4" t="s">
        <v>79</v>
      </c>
      <c r="I69" s="4" t="s">
        <v>34</v>
      </c>
      <c r="J69" s="3" t="s">
        <v>203</v>
      </c>
      <c r="K69" s="3" t="s">
        <v>89</v>
      </c>
      <c r="L69" s="4" t="s">
        <v>179</v>
      </c>
      <c r="M69" s="19"/>
      <c r="N69" s="3" t="str">
        <f>HYPERLINK("https://www.stromypodkontrolou.cz/map/tree/eb9fcfc1-f6fa-405f-85c7-690b2fb79ecd/53b03031-c6b4-4668-a43a-1c6125e696d2")</f>
        <v>https://www.stromypodkontrolou.cz/map/tree/eb9fcfc1-f6fa-405f-85c7-690b2fb79ecd/53b03031-c6b4-4668-a43a-1c6125e696d2</v>
      </c>
      <c r="O69" s="3" t="str">
        <f>HYPERLINK("https://www.mapy.cz?st=search&amp;fr=49.66419401 18.68171388")</f>
        <v>https://www.mapy.cz?st=search&amp;fr=49.66419401 18.68171388</v>
      </c>
    </row>
    <row r="70" spans="1:15" ht="120">
      <c r="A70" s="10">
        <v>51</v>
      </c>
      <c r="B70" s="3" t="s">
        <v>13</v>
      </c>
      <c r="C70" s="3" t="s">
        <v>204</v>
      </c>
      <c r="D70" s="4">
        <v>56</v>
      </c>
      <c r="E70" s="5" t="s">
        <v>115</v>
      </c>
      <c r="F70" s="3" t="s">
        <v>116</v>
      </c>
      <c r="G70" s="4" t="s">
        <v>34</v>
      </c>
      <c r="H70" s="4" t="s">
        <v>18</v>
      </c>
      <c r="I70" s="4" t="s">
        <v>21</v>
      </c>
      <c r="J70" s="3"/>
      <c r="K70" s="3" t="s">
        <v>23</v>
      </c>
      <c r="L70" s="4" t="s">
        <v>24</v>
      </c>
      <c r="M70" s="19"/>
      <c r="N70" s="3" t="str">
        <f>HYPERLINK("https://www.stromypodkontrolou.cz/map/tree/eb9fcfc1-f6fa-405f-85c7-690b2fb79ecd/8996b6ae-0959-4b31-8e4f-c234a971f129")</f>
        <v>https://www.stromypodkontrolou.cz/map/tree/eb9fcfc1-f6fa-405f-85c7-690b2fb79ecd/8996b6ae-0959-4b31-8e4f-c234a971f129</v>
      </c>
      <c r="O70" s="3" t="str">
        <f>HYPERLINK("https://www.mapy.cz?st=search&amp;fr=49.68406181 18.67104176")</f>
        <v>https://www.mapy.cz?st=search&amp;fr=49.68406181 18.67104176</v>
      </c>
    </row>
    <row r="71" spans="1:15" ht="120">
      <c r="A71" s="10">
        <v>52</v>
      </c>
      <c r="B71" s="3" t="s">
        <v>13</v>
      </c>
      <c r="C71" s="3" t="s">
        <v>204</v>
      </c>
      <c r="D71" s="4">
        <v>57</v>
      </c>
      <c r="E71" s="5" t="s">
        <v>115</v>
      </c>
      <c r="F71" s="3" t="s">
        <v>116</v>
      </c>
      <c r="G71" s="4" t="s">
        <v>25</v>
      </c>
      <c r="H71" s="4" t="s">
        <v>18</v>
      </c>
      <c r="I71" s="4" t="s">
        <v>21</v>
      </c>
      <c r="J71" s="3"/>
      <c r="K71" s="3" t="s">
        <v>23</v>
      </c>
      <c r="L71" s="4" t="s">
        <v>24</v>
      </c>
      <c r="M71" s="19"/>
      <c r="N71" s="3" t="str">
        <f>HYPERLINK("https://www.stromypodkontrolou.cz/map/tree/eb9fcfc1-f6fa-405f-85c7-690b2fb79ecd/c9fd30d1-c2f6-4899-beb6-b7e18298fc0c")</f>
        <v>https://www.stromypodkontrolou.cz/map/tree/eb9fcfc1-f6fa-405f-85c7-690b2fb79ecd/c9fd30d1-c2f6-4899-beb6-b7e18298fc0c</v>
      </c>
      <c r="O71" s="3" t="str">
        <f>HYPERLINK("https://www.mapy.cz?st=search&amp;fr=49.68406063 18.67085022")</f>
        <v>https://www.mapy.cz?st=search&amp;fr=49.68406063 18.67085022</v>
      </c>
    </row>
    <row r="72" spans="1:15" ht="120">
      <c r="A72" s="10">
        <v>53</v>
      </c>
      <c r="B72" s="3" t="s">
        <v>13</v>
      </c>
      <c r="C72" s="3" t="s">
        <v>205</v>
      </c>
      <c r="D72" s="4">
        <v>389</v>
      </c>
      <c r="E72" s="5" t="s">
        <v>76</v>
      </c>
      <c r="F72" s="3" t="s">
        <v>77</v>
      </c>
      <c r="G72" s="4" t="s">
        <v>206</v>
      </c>
      <c r="H72" s="4" t="s">
        <v>69</v>
      </c>
      <c r="I72" s="4" t="s">
        <v>25</v>
      </c>
      <c r="J72" s="3" t="s">
        <v>207</v>
      </c>
      <c r="K72" s="3" t="s">
        <v>38</v>
      </c>
      <c r="L72" s="4" t="s">
        <v>142</v>
      </c>
      <c r="M72" s="19"/>
      <c r="N72" s="3" t="str">
        <f>HYPERLINK("https://www.stromypodkontrolou.cz/map/tree/eb9fcfc1-f6fa-405f-85c7-690b2fb79ecd/f4c47823-14d7-4a76-ba1c-347ebc08dcfd")</f>
        <v>https://www.stromypodkontrolou.cz/map/tree/eb9fcfc1-f6fa-405f-85c7-690b2fb79ecd/f4c47823-14d7-4a76-ba1c-347ebc08dcfd</v>
      </c>
      <c r="O72" s="3" t="str">
        <f>HYPERLINK("https://www.mapy.cz?st=search&amp;fr=49.68253413 18.67464810")</f>
        <v>https://www.mapy.cz?st=search&amp;fr=49.68253413 18.67464810</v>
      </c>
    </row>
    <row r="73" spans="1:15" ht="120">
      <c r="A73" s="10">
        <v>54</v>
      </c>
      <c r="B73" s="3" t="s">
        <v>13</v>
      </c>
      <c r="C73" s="3" t="s">
        <v>205</v>
      </c>
      <c r="D73" s="4">
        <v>390</v>
      </c>
      <c r="E73" s="5" t="s">
        <v>115</v>
      </c>
      <c r="F73" s="3" t="s">
        <v>116</v>
      </c>
      <c r="G73" s="4" t="s">
        <v>87</v>
      </c>
      <c r="H73" s="4" t="s">
        <v>117</v>
      </c>
      <c r="I73" s="4" t="s">
        <v>50</v>
      </c>
      <c r="J73" s="3"/>
      <c r="K73" s="3" t="s">
        <v>23</v>
      </c>
      <c r="L73" s="4" t="s">
        <v>118</v>
      </c>
      <c r="M73" s="19"/>
      <c r="N73" s="3" t="str">
        <f>HYPERLINK("https://www.stromypodkontrolou.cz/map/tree/eb9fcfc1-f6fa-405f-85c7-690b2fb79ecd/22fd1ed0-2f2c-48ad-89c8-d14bcc6388a8")</f>
        <v>https://www.stromypodkontrolou.cz/map/tree/eb9fcfc1-f6fa-405f-85c7-690b2fb79ecd/22fd1ed0-2f2c-48ad-89c8-d14bcc6388a8</v>
      </c>
      <c r="O73" s="3" t="str">
        <f>HYPERLINK("https://www.mapy.cz?st=search&amp;fr=49.68255305 18.67432264")</f>
        <v>https://www.mapy.cz?st=search&amp;fr=49.68255305 18.67432264</v>
      </c>
    </row>
    <row r="74" spans="1:15" ht="120">
      <c r="A74" s="10">
        <v>55</v>
      </c>
      <c r="B74" s="3" t="s">
        <v>13</v>
      </c>
      <c r="C74" s="3" t="s">
        <v>205</v>
      </c>
      <c r="D74" s="4">
        <v>391</v>
      </c>
      <c r="E74" s="5" t="s">
        <v>115</v>
      </c>
      <c r="F74" s="3" t="s">
        <v>116</v>
      </c>
      <c r="G74" s="4" t="s">
        <v>25</v>
      </c>
      <c r="H74" s="4" t="s">
        <v>26</v>
      </c>
      <c r="I74" s="4" t="s">
        <v>21</v>
      </c>
      <c r="J74" s="3" t="s">
        <v>208</v>
      </c>
      <c r="K74" s="3" t="s">
        <v>23</v>
      </c>
      <c r="L74" s="4" t="s">
        <v>24</v>
      </c>
      <c r="M74" s="19"/>
      <c r="N74" s="3" t="str">
        <f>HYPERLINK("https://www.stromypodkontrolou.cz/map/tree/eb9fcfc1-f6fa-405f-85c7-690b2fb79ecd/1481886f-d1b0-4e78-b6a8-683db28fa145")</f>
        <v>https://www.stromypodkontrolou.cz/map/tree/eb9fcfc1-f6fa-405f-85c7-690b2fb79ecd/1481886f-d1b0-4e78-b6a8-683db28fa145</v>
      </c>
      <c r="O74" s="3" t="str">
        <f>HYPERLINK("https://www.mapy.cz?st=search&amp;fr=49.68245845 18.67420132")</f>
        <v>https://www.mapy.cz?st=search&amp;fr=49.68245845 18.67420132</v>
      </c>
    </row>
    <row r="75" spans="1:15" ht="36">
      <c r="A75" s="16">
        <v>56</v>
      </c>
      <c r="B75" s="13" t="s">
        <v>13</v>
      </c>
      <c r="C75" s="13" t="s">
        <v>209</v>
      </c>
      <c r="D75" s="18">
        <v>30</v>
      </c>
      <c r="E75" s="15" t="s">
        <v>155</v>
      </c>
      <c r="F75" s="13" t="s">
        <v>156</v>
      </c>
      <c r="G75" s="18" t="s">
        <v>210</v>
      </c>
      <c r="H75" s="18" t="s">
        <v>178</v>
      </c>
      <c r="I75" s="18" t="s">
        <v>87</v>
      </c>
      <c r="J75" s="13"/>
      <c r="K75" s="3" t="s">
        <v>89</v>
      </c>
      <c r="L75" s="4" t="s">
        <v>179</v>
      </c>
      <c r="M75" s="19"/>
      <c r="N75" s="13" t="str">
        <f>HYPERLINK("https://www.stromypodkontrolou.cz/map/tree/eb9fcfc1-f6fa-405f-85c7-690b2fb79ecd/4137631e-1e7f-4139-b825-13d73076db31")</f>
        <v>https://www.stromypodkontrolou.cz/map/tree/eb9fcfc1-f6fa-405f-85c7-690b2fb79ecd/4137631e-1e7f-4139-b825-13d73076db31</v>
      </c>
      <c r="O75" s="13" t="str">
        <f>HYPERLINK("https://www.mapy.cz?st=search&amp;fr=49.67683244 18.66334631")</f>
        <v>https://www.mapy.cz?st=search&amp;fr=49.67683244 18.66334631</v>
      </c>
    </row>
    <row r="76" spans="1:15" ht="12.75">
      <c r="A76" s="16"/>
      <c r="B76" s="13"/>
      <c r="C76" s="13"/>
      <c r="D76" s="18"/>
      <c r="E76" s="15"/>
      <c r="F76" s="13"/>
      <c r="G76" s="18"/>
      <c r="H76" s="18"/>
      <c r="I76" s="18"/>
      <c r="J76" s="13"/>
      <c r="K76" s="3" t="s">
        <v>38</v>
      </c>
      <c r="L76" s="4" t="s">
        <v>67</v>
      </c>
      <c r="M76" s="19"/>
      <c r="N76" s="13"/>
      <c r="O76" s="13"/>
    </row>
    <row r="77" spans="1:15" ht="36">
      <c r="A77" s="16"/>
      <c r="B77" s="13"/>
      <c r="C77" s="13"/>
      <c r="D77" s="18"/>
      <c r="E77" s="15"/>
      <c r="F77" s="13"/>
      <c r="G77" s="18"/>
      <c r="H77" s="18"/>
      <c r="I77" s="18"/>
      <c r="J77" s="13"/>
      <c r="K77" s="3" t="s">
        <v>36</v>
      </c>
      <c r="L77" s="4" t="s">
        <v>202</v>
      </c>
      <c r="M77" s="19"/>
      <c r="N77" s="13"/>
      <c r="O77" s="13"/>
    </row>
    <row r="78" spans="1:15" ht="120">
      <c r="A78" s="11">
        <v>57</v>
      </c>
      <c r="B78" s="3" t="s">
        <v>13</v>
      </c>
      <c r="C78" s="3" t="s">
        <v>217</v>
      </c>
      <c r="D78" s="4">
        <v>11</v>
      </c>
      <c r="E78" s="5" t="s">
        <v>218</v>
      </c>
      <c r="F78" s="3" t="s">
        <v>219</v>
      </c>
      <c r="G78" s="4" t="s">
        <v>220</v>
      </c>
      <c r="H78" s="4" t="s">
        <v>49</v>
      </c>
      <c r="I78" s="4" t="s">
        <v>17</v>
      </c>
      <c r="J78" s="3"/>
      <c r="K78" s="3" t="s">
        <v>36</v>
      </c>
      <c r="L78" s="4" t="s">
        <v>53</v>
      </c>
      <c r="M78" s="19"/>
      <c r="N78" s="3" t="str">
        <f>HYPERLINK("https://www.stromypodkontrolou.cz/map/tree/eb9fcfc1-f6fa-405f-85c7-690b2fb79ecd/af741b51-29c7-4d4b-b6b1-fe44d1677c7e")</f>
        <v>https://www.stromypodkontrolou.cz/map/tree/eb9fcfc1-f6fa-405f-85c7-690b2fb79ecd/af741b51-29c7-4d4b-b6b1-fe44d1677c7e</v>
      </c>
      <c r="O78" s="3" t="str">
        <f>HYPERLINK("https://www.mapy.cz?st=search&amp;fr=49.66431900 18.69122197")</f>
        <v>https://www.mapy.cz?st=search&amp;fr=49.66431900 18.69122197</v>
      </c>
    </row>
    <row r="79" spans="1:15" ht="120">
      <c r="A79" s="11">
        <v>58</v>
      </c>
      <c r="B79" s="3" t="s">
        <v>13</v>
      </c>
      <c r="C79" s="3" t="s">
        <v>217</v>
      </c>
      <c r="D79" s="4">
        <v>24</v>
      </c>
      <c r="E79" s="5" t="s">
        <v>221</v>
      </c>
      <c r="F79" s="3" t="s">
        <v>222</v>
      </c>
      <c r="G79" s="4" t="s">
        <v>162</v>
      </c>
      <c r="H79" s="4" t="s">
        <v>106</v>
      </c>
      <c r="I79" s="4" t="s">
        <v>25</v>
      </c>
      <c r="J79" s="3" t="s">
        <v>223</v>
      </c>
      <c r="K79" s="3" t="s">
        <v>129</v>
      </c>
      <c r="L79" s="4" t="s">
        <v>53</v>
      </c>
      <c r="M79" s="19"/>
      <c r="N79" s="3" t="str">
        <f>HYPERLINK("https://www.stromypodkontrolou.cz/map/tree/eb9fcfc1-f6fa-405f-85c7-690b2fb79ecd/23823c2a-3bd8-42c2-90ac-41a33f8b473d")</f>
        <v>https://www.stromypodkontrolou.cz/map/tree/eb9fcfc1-f6fa-405f-85c7-690b2fb79ecd/23823c2a-3bd8-42c2-90ac-41a33f8b473d</v>
      </c>
      <c r="O79" s="3" t="str">
        <f>HYPERLINK("https://www.mapy.cz?st=search&amp;fr=49.66353956 18.69045365")</f>
        <v>https://www.mapy.cz?st=search&amp;fr=49.66353956 18.69045365</v>
      </c>
    </row>
    <row r="80" spans="1:15" ht="120">
      <c r="A80" s="11">
        <v>59</v>
      </c>
      <c r="B80" s="3" t="s">
        <v>13</v>
      </c>
      <c r="C80" s="3" t="s">
        <v>217</v>
      </c>
      <c r="D80" s="4">
        <v>25</v>
      </c>
      <c r="E80" s="5" t="s">
        <v>221</v>
      </c>
      <c r="F80" s="3" t="s">
        <v>222</v>
      </c>
      <c r="G80" s="4" t="s">
        <v>48</v>
      </c>
      <c r="H80" s="4" t="s">
        <v>62</v>
      </c>
      <c r="I80" s="4" t="s">
        <v>25</v>
      </c>
      <c r="J80" s="3" t="s">
        <v>223</v>
      </c>
      <c r="K80" s="3" t="s">
        <v>129</v>
      </c>
      <c r="L80" s="4" t="s">
        <v>37</v>
      </c>
      <c r="M80" s="19"/>
      <c r="N80" s="3" t="str">
        <f>HYPERLINK("https://www.stromypodkontrolou.cz/map/tree/eb9fcfc1-f6fa-405f-85c7-690b2fb79ecd/dece8943-38e3-4d80-b444-4c7b0e1b7831")</f>
        <v>https://www.stromypodkontrolou.cz/map/tree/eb9fcfc1-f6fa-405f-85c7-690b2fb79ecd/dece8943-38e3-4d80-b444-4c7b0e1b7831</v>
      </c>
      <c r="O80" s="3" t="str">
        <f>HYPERLINK("https://www.mapy.cz?st=search&amp;fr=49.66356980 18.69049716")</f>
        <v>https://www.mapy.cz?st=search&amp;fr=49.66356980 18.69049716</v>
      </c>
    </row>
    <row r="81" spans="1:15" ht="120">
      <c r="A81" s="11">
        <v>60</v>
      </c>
      <c r="B81" s="3" t="s">
        <v>13</v>
      </c>
      <c r="C81" s="3" t="s">
        <v>217</v>
      </c>
      <c r="D81" s="4">
        <v>26</v>
      </c>
      <c r="E81" s="5" t="s">
        <v>221</v>
      </c>
      <c r="F81" s="3" t="s">
        <v>222</v>
      </c>
      <c r="G81" s="4" t="s">
        <v>42</v>
      </c>
      <c r="H81" s="4" t="s">
        <v>62</v>
      </c>
      <c r="I81" s="4" t="s">
        <v>25</v>
      </c>
      <c r="J81" s="3" t="s">
        <v>223</v>
      </c>
      <c r="K81" s="3" t="s">
        <v>129</v>
      </c>
      <c r="L81" s="4" t="s">
        <v>37</v>
      </c>
      <c r="M81" s="19"/>
      <c r="N81" s="3" t="str">
        <f>HYPERLINK("https://www.stromypodkontrolou.cz/map/tree/eb9fcfc1-f6fa-405f-85c7-690b2fb79ecd/7846c83b-ad1e-4b6e-86a1-8abc770fda75")</f>
        <v>https://www.stromypodkontrolou.cz/map/tree/eb9fcfc1-f6fa-405f-85c7-690b2fb79ecd/7846c83b-ad1e-4b6e-86a1-8abc770fda75</v>
      </c>
      <c r="O81" s="3" t="str">
        <f>HYPERLINK("https://www.mapy.cz?st=search&amp;fr=49.66361919 18.69056192")</f>
        <v>https://www.mapy.cz?st=search&amp;fr=49.66361919 18.69056192</v>
      </c>
    </row>
    <row r="82" spans="1:15" ht="120">
      <c r="A82" s="11">
        <v>61</v>
      </c>
      <c r="B82" s="3" t="s">
        <v>13</v>
      </c>
      <c r="C82" s="3" t="s">
        <v>217</v>
      </c>
      <c r="D82" s="4">
        <v>27</v>
      </c>
      <c r="E82" s="5" t="s">
        <v>221</v>
      </c>
      <c r="F82" s="3" t="s">
        <v>222</v>
      </c>
      <c r="G82" s="4" t="s">
        <v>48</v>
      </c>
      <c r="H82" s="4" t="s">
        <v>62</v>
      </c>
      <c r="I82" s="4" t="s">
        <v>27</v>
      </c>
      <c r="J82" s="3" t="s">
        <v>223</v>
      </c>
      <c r="K82" s="3" t="s">
        <v>129</v>
      </c>
      <c r="L82" s="4" t="s">
        <v>37</v>
      </c>
      <c r="M82" s="19"/>
      <c r="N82" s="3" t="str">
        <f>HYPERLINK("https://www.stromypodkontrolou.cz/map/tree/eb9fcfc1-f6fa-405f-85c7-690b2fb79ecd/baee66eb-7616-4fb9-84d6-837ddc2be809")</f>
        <v>https://www.stromypodkontrolou.cz/map/tree/eb9fcfc1-f6fa-405f-85c7-690b2fb79ecd/baee66eb-7616-4fb9-84d6-837ddc2be809</v>
      </c>
      <c r="O82" s="3" t="str">
        <f>HYPERLINK("https://www.mapy.cz?st=search&amp;fr=49.66366477 18.69062299")</f>
        <v>https://www.mapy.cz?st=search&amp;fr=49.66366477 18.69062299</v>
      </c>
    </row>
    <row r="83" spans="1:15" ht="120">
      <c r="A83" s="11">
        <v>62</v>
      </c>
      <c r="B83" s="3" t="s">
        <v>13</v>
      </c>
      <c r="C83" s="3" t="s">
        <v>217</v>
      </c>
      <c r="D83" s="4">
        <v>28</v>
      </c>
      <c r="E83" s="5" t="s">
        <v>221</v>
      </c>
      <c r="F83" s="3" t="s">
        <v>222</v>
      </c>
      <c r="G83" s="4" t="s">
        <v>48</v>
      </c>
      <c r="H83" s="4" t="s">
        <v>106</v>
      </c>
      <c r="I83" s="4" t="s">
        <v>25</v>
      </c>
      <c r="J83" s="3" t="s">
        <v>223</v>
      </c>
      <c r="K83" s="3" t="s">
        <v>129</v>
      </c>
      <c r="L83" s="4" t="s">
        <v>53</v>
      </c>
      <c r="M83" s="19"/>
      <c r="N83" s="3" t="str">
        <f>HYPERLINK("https://www.stromypodkontrolou.cz/map/tree/eb9fcfc1-f6fa-405f-85c7-690b2fb79ecd/8248b1c8-0571-4933-a0ff-9055aefc065a")</f>
        <v>https://www.stromypodkontrolou.cz/map/tree/eb9fcfc1-f6fa-405f-85c7-690b2fb79ecd/8248b1c8-0571-4933-a0ff-9055aefc065a</v>
      </c>
      <c r="O83" s="3" t="str">
        <f>HYPERLINK("https://www.mapy.cz?st=search&amp;fr=49.66370031 18.69066445")</f>
        <v>https://www.mapy.cz?st=search&amp;fr=49.66370031 18.69066445</v>
      </c>
    </row>
    <row r="84" spans="1:15" ht="120">
      <c r="A84" s="11">
        <v>63</v>
      </c>
      <c r="B84" s="3" t="s">
        <v>13</v>
      </c>
      <c r="C84" s="3" t="s">
        <v>217</v>
      </c>
      <c r="D84" s="4">
        <v>29</v>
      </c>
      <c r="E84" s="5" t="s">
        <v>221</v>
      </c>
      <c r="F84" s="3" t="s">
        <v>222</v>
      </c>
      <c r="G84" s="4" t="s">
        <v>64</v>
      </c>
      <c r="H84" s="4" t="s">
        <v>106</v>
      </c>
      <c r="I84" s="4" t="s">
        <v>25</v>
      </c>
      <c r="J84" s="3" t="s">
        <v>224</v>
      </c>
      <c r="K84" s="3" t="s">
        <v>129</v>
      </c>
      <c r="L84" s="4" t="s">
        <v>53</v>
      </c>
      <c r="M84" s="19"/>
      <c r="N84" s="3" t="str">
        <f>HYPERLINK("https://www.stromypodkontrolou.cz/map/tree/eb9fcfc1-f6fa-405f-85c7-690b2fb79ecd/9a42b898-630e-45bc-8789-3502d95839b3")</f>
        <v>https://www.stromypodkontrolou.cz/map/tree/eb9fcfc1-f6fa-405f-85c7-690b2fb79ecd/9a42b898-630e-45bc-8789-3502d95839b3</v>
      </c>
      <c r="O84" s="3" t="str">
        <f>HYPERLINK("https://www.mapy.cz?st=search&amp;fr=49.66381901 18.69079435")</f>
        <v>https://www.mapy.cz?st=search&amp;fr=49.66381901 18.69079435</v>
      </c>
    </row>
    <row r="85" spans="1:15" ht="120">
      <c r="A85" s="11">
        <v>64</v>
      </c>
      <c r="B85" s="3" t="s">
        <v>13</v>
      </c>
      <c r="C85" s="3" t="s">
        <v>217</v>
      </c>
      <c r="D85" s="4">
        <v>30</v>
      </c>
      <c r="E85" s="5" t="s">
        <v>221</v>
      </c>
      <c r="F85" s="3" t="s">
        <v>222</v>
      </c>
      <c r="G85" s="4" t="s">
        <v>177</v>
      </c>
      <c r="H85" s="4" t="s">
        <v>62</v>
      </c>
      <c r="I85" s="4" t="s">
        <v>25</v>
      </c>
      <c r="J85" s="3" t="s">
        <v>224</v>
      </c>
      <c r="K85" s="3" t="s">
        <v>129</v>
      </c>
      <c r="L85" s="4" t="s">
        <v>37</v>
      </c>
      <c r="M85" s="19"/>
      <c r="N85" s="3" t="str">
        <f>HYPERLINK("https://www.stromypodkontrolou.cz/map/tree/eb9fcfc1-f6fa-405f-85c7-690b2fb79ecd/c3a1722e-4adb-4489-8440-d50d8b4d2ced")</f>
        <v>https://www.stromypodkontrolou.cz/map/tree/eb9fcfc1-f6fa-405f-85c7-690b2fb79ecd/c3a1722e-4adb-4489-8440-d50d8b4d2ced</v>
      </c>
      <c r="O85" s="3" t="str">
        <f>HYPERLINK("https://www.mapy.cz?st=search&amp;fr=49.66388999 18.69085915")</f>
        <v>https://www.mapy.cz?st=search&amp;fr=49.66388999 18.69085915</v>
      </c>
    </row>
    <row r="86" spans="1:15" ht="120">
      <c r="A86" s="11">
        <v>65</v>
      </c>
      <c r="B86" s="3" t="s">
        <v>13</v>
      </c>
      <c r="C86" s="3" t="s">
        <v>217</v>
      </c>
      <c r="D86" s="4">
        <v>31</v>
      </c>
      <c r="E86" s="5" t="s">
        <v>221</v>
      </c>
      <c r="F86" s="3" t="s">
        <v>222</v>
      </c>
      <c r="G86" s="4" t="s">
        <v>225</v>
      </c>
      <c r="H86" s="4" t="s">
        <v>62</v>
      </c>
      <c r="I86" s="4" t="s">
        <v>27</v>
      </c>
      <c r="J86" s="3" t="s">
        <v>226</v>
      </c>
      <c r="K86" s="3" t="s">
        <v>129</v>
      </c>
      <c r="L86" s="4" t="s">
        <v>37</v>
      </c>
      <c r="M86" s="19"/>
      <c r="N86" s="3" t="str">
        <f>HYPERLINK("https://www.stromypodkontrolou.cz/map/tree/eb9fcfc1-f6fa-405f-85c7-690b2fb79ecd/038a2571-6875-4a7f-9023-d524f259dc2f")</f>
        <v>https://www.stromypodkontrolou.cz/map/tree/eb9fcfc1-f6fa-405f-85c7-690b2fb79ecd/038a2571-6875-4a7f-9023-d524f259dc2f</v>
      </c>
      <c r="O86" s="3" t="str">
        <f>HYPERLINK("https://www.mapy.cz?st=search&amp;fr=49.66405548 18.69100411")</f>
        <v>https://www.mapy.cz?st=search&amp;fr=49.66405548 18.69100411</v>
      </c>
    </row>
    <row r="87" spans="1:15" ht="120">
      <c r="A87" s="11">
        <v>66</v>
      </c>
      <c r="B87" s="3" t="s">
        <v>13</v>
      </c>
      <c r="C87" s="3" t="s">
        <v>217</v>
      </c>
      <c r="D87" s="4">
        <v>32</v>
      </c>
      <c r="E87" s="5" t="s">
        <v>221</v>
      </c>
      <c r="F87" s="3" t="s">
        <v>222</v>
      </c>
      <c r="G87" s="4" t="s">
        <v>56</v>
      </c>
      <c r="H87" s="4" t="s">
        <v>62</v>
      </c>
      <c r="I87" s="4" t="s">
        <v>50</v>
      </c>
      <c r="J87" s="3" t="s">
        <v>224</v>
      </c>
      <c r="K87" s="3" t="s">
        <v>129</v>
      </c>
      <c r="L87" s="4" t="s">
        <v>46</v>
      </c>
      <c r="M87" s="19"/>
      <c r="N87" s="3" t="str">
        <f>HYPERLINK("https://www.stromypodkontrolou.cz/map/tree/eb9fcfc1-f6fa-405f-85c7-690b2fb79ecd/85a172a8-2725-47b6-8379-2f221833662f")</f>
        <v>https://www.stromypodkontrolou.cz/map/tree/eb9fcfc1-f6fa-405f-85c7-690b2fb79ecd/85a172a8-2725-47b6-8379-2f221833662f</v>
      </c>
      <c r="O87" s="3" t="str">
        <f>HYPERLINK("https://www.mapy.cz?st=search&amp;fr=49.66409672 18.69103375")</f>
        <v>https://www.mapy.cz?st=search&amp;fr=49.66409672 18.69103375</v>
      </c>
    </row>
    <row r="88" spans="1:15" ht="120">
      <c r="A88" s="11">
        <v>67</v>
      </c>
      <c r="B88" s="3" t="s">
        <v>13</v>
      </c>
      <c r="C88" s="3" t="s">
        <v>217</v>
      </c>
      <c r="D88" s="4">
        <v>36</v>
      </c>
      <c r="E88" s="5" t="s">
        <v>29</v>
      </c>
      <c r="F88" s="3" t="s">
        <v>30</v>
      </c>
      <c r="G88" s="4" t="s">
        <v>227</v>
      </c>
      <c r="H88" s="4" t="s">
        <v>132</v>
      </c>
      <c r="I88" s="4" t="s">
        <v>27</v>
      </c>
      <c r="J88" s="3" t="s">
        <v>228</v>
      </c>
      <c r="K88" s="3" t="s">
        <v>38</v>
      </c>
      <c r="L88" s="4" t="s">
        <v>229</v>
      </c>
      <c r="M88" s="19"/>
      <c r="N88" s="3" t="str">
        <f>HYPERLINK("https://www.stromypodkontrolou.cz/map/tree/eb9fcfc1-f6fa-405f-85c7-690b2fb79ecd/d77af2ba-6fe4-4e7b-be25-de036cbcb162")</f>
        <v>https://www.stromypodkontrolou.cz/map/tree/eb9fcfc1-f6fa-405f-85c7-690b2fb79ecd/d77af2ba-6fe4-4e7b-be25-de036cbcb162</v>
      </c>
      <c r="O88" s="3" t="str">
        <f>HYPERLINK("https://www.mapy.cz?st=search&amp;fr=49.66403453 18.68860910")</f>
        <v>https://www.mapy.cz?st=search&amp;fr=49.66403453 18.68860910</v>
      </c>
    </row>
    <row r="89" spans="1:15" ht="120">
      <c r="A89" s="11">
        <v>68</v>
      </c>
      <c r="B89" s="3" t="s">
        <v>13</v>
      </c>
      <c r="C89" s="3" t="s">
        <v>217</v>
      </c>
      <c r="D89" s="4">
        <v>37</v>
      </c>
      <c r="E89" s="5" t="s">
        <v>29</v>
      </c>
      <c r="F89" s="3" t="s">
        <v>30</v>
      </c>
      <c r="G89" s="4" t="s">
        <v>227</v>
      </c>
      <c r="H89" s="4" t="s">
        <v>213</v>
      </c>
      <c r="I89" s="4" t="s">
        <v>50</v>
      </c>
      <c r="J89" s="3"/>
      <c r="K89" s="3" t="s">
        <v>38</v>
      </c>
      <c r="L89" s="4" t="s">
        <v>229</v>
      </c>
      <c r="M89" s="19"/>
      <c r="N89" s="3" t="str">
        <f>HYPERLINK("https://www.stromypodkontrolou.cz/map/tree/eb9fcfc1-f6fa-405f-85c7-690b2fb79ecd/e7025f1e-5b6c-432f-8ffd-1d94255a75dc")</f>
        <v>https://www.stromypodkontrolou.cz/map/tree/eb9fcfc1-f6fa-405f-85c7-690b2fb79ecd/e7025f1e-5b6c-432f-8ffd-1d94255a75dc</v>
      </c>
      <c r="O89" s="3" t="str">
        <f>HYPERLINK("https://www.mapy.cz?st=search&amp;fr=49.66401509 18.68865087")</f>
        <v>https://www.mapy.cz?st=search&amp;fr=49.66401509 18.68865087</v>
      </c>
    </row>
    <row r="90" spans="1:15" ht="120">
      <c r="A90" s="11">
        <v>69</v>
      </c>
      <c r="B90" s="3" t="s">
        <v>13</v>
      </c>
      <c r="C90" s="3" t="s">
        <v>217</v>
      </c>
      <c r="D90" s="4">
        <v>38</v>
      </c>
      <c r="E90" s="5" t="s">
        <v>29</v>
      </c>
      <c r="F90" s="3" t="s">
        <v>30</v>
      </c>
      <c r="G90" s="4" t="s">
        <v>230</v>
      </c>
      <c r="H90" s="4" t="s">
        <v>231</v>
      </c>
      <c r="I90" s="4" t="s">
        <v>27</v>
      </c>
      <c r="J90" s="3"/>
      <c r="K90" s="3" t="s">
        <v>38</v>
      </c>
      <c r="L90" s="4" t="s">
        <v>229</v>
      </c>
      <c r="M90" s="19"/>
      <c r="N90" s="3" t="str">
        <f>HYPERLINK("https://www.stromypodkontrolou.cz/map/tree/eb9fcfc1-f6fa-405f-85c7-690b2fb79ecd/4c9c084c-21bb-4f56-bd19-1a5ba41e3773")</f>
        <v>https://www.stromypodkontrolou.cz/map/tree/eb9fcfc1-f6fa-405f-85c7-690b2fb79ecd/4c9c084c-21bb-4f56-bd19-1a5ba41e3773</v>
      </c>
      <c r="O90" s="3" t="str">
        <f>HYPERLINK("https://www.mapy.cz?st=search&amp;fr=49.66398809 18.68873598")</f>
        <v>https://www.mapy.cz?st=search&amp;fr=49.66398809 18.68873598</v>
      </c>
    </row>
    <row r="91" spans="1:15" ht="120">
      <c r="A91" s="11">
        <v>70</v>
      </c>
      <c r="B91" s="3" t="s">
        <v>13</v>
      </c>
      <c r="C91" s="3" t="s">
        <v>232</v>
      </c>
      <c r="D91" s="4">
        <v>16</v>
      </c>
      <c r="E91" s="5" t="s">
        <v>233</v>
      </c>
      <c r="F91" s="3" t="s">
        <v>234</v>
      </c>
      <c r="G91" s="4" t="s">
        <v>206</v>
      </c>
      <c r="H91" s="4" t="s">
        <v>69</v>
      </c>
      <c r="I91" s="4" t="s">
        <v>27</v>
      </c>
      <c r="J91" s="3" t="s">
        <v>75</v>
      </c>
      <c r="K91" s="3" t="s">
        <v>38</v>
      </c>
      <c r="L91" s="4" t="s">
        <v>47</v>
      </c>
      <c r="M91" s="19"/>
      <c r="N91" s="3" t="str">
        <f>HYPERLINK("https://www.stromypodkontrolou.cz/map/tree/eb9fcfc1-f6fa-405f-85c7-690b2fb79ecd/a1cbb76b-2da6-4402-90fb-6cd13c0d6c2d")</f>
        <v>https://www.stromypodkontrolou.cz/map/tree/eb9fcfc1-f6fa-405f-85c7-690b2fb79ecd/a1cbb76b-2da6-4402-90fb-6cd13c0d6c2d</v>
      </c>
      <c r="O91" s="3" t="str">
        <f>HYPERLINK("https://www.mapy.cz?st=search&amp;fr=49.67200162 18.68373835")</f>
        <v>https://www.mapy.cz?st=search&amp;fr=49.67200162 18.68373835</v>
      </c>
    </row>
    <row r="92" spans="1:15" ht="120">
      <c r="A92" s="11">
        <v>71</v>
      </c>
      <c r="B92" s="3" t="s">
        <v>13</v>
      </c>
      <c r="C92" s="3" t="s">
        <v>232</v>
      </c>
      <c r="D92" s="4">
        <v>23</v>
      </c>
      <c r="E92" s="5" t="s">
        <v>233</v>
      </c>
      <c r="F92" s="3" t="s">
        <v>234</v>
      </c>
      <c r="G92" s="4" t="s">
        <v>141</v>
      </c>
      <c r="H92" s="4" t="s">
        <v>32</v>
      </c>
      <c r="I92" s="4" t="s">
        <v>27</v>
      </c>
      <c r="J92" s="3" t="s">
        <v>75</v>
      </c>
      <c r="K92" s="3" t="s">
        <v>38</v>
      </c>
      <c r="L92" s="4" t="s">
        <v>47</v>
      </c>
      <c r="M92" s="19"/>
      <c r="N92" s="3" t="str">
        <f>HYPERLINK("https://www.stromypodkontrolou.cz/map/tree/eb9fcfc1-f6fa-405f-85c7-690b2fb79ecd/c1811a02-c7c6-4b10-9861-7d7c490d2650")</f>
        <v>https://www.stromypodkontrolou.cz/map/tree/eb9fcfc1-f6fa-405f-85c7-690b2fb79ecd/c1811a02-c7c6-4b10-9861-7d7c490d2650</v>
      </c>
      <c r="O92" s="3" t="str">
        <f>HYPERLINK("https://www.mapy.cz?st=search&amp;fr=49.67175095 18.68334696")</f>
        <v>https://www.mapy.cz?st=search&amp;fr=49.67175095 18.68334696</v>
      </c>
    </row>
    <row r="93" spans="1:15" ht="120">
      <c r="A93" s="11">
        <v>72</v>
      </c>
      <c r="B93" s="3" t="s">
        <v>13</v>
      </c>
      <c r="C93" s="3" t="s">
        <v>235</v>
      </c>
      <c r="D93" s="4">
        <v>7</v>
      </c>
      <c r="E93" s="5" t="s">
        <v>175</v>
      </c>
      <c r="F93" s="3" t="s">
        <v>176</v>
      </c>
      <c r="G93" s="4" t="s">
        <v>127</v>
      </c>
      <c r="H93" s="4" t="s">
        <v>62</v>
      </c>
      <c r="I93" s="4" t="s">
        <v>135</v>
      </c>
      <c r="J93" s="3" t="s">
        <v>236</v>
      </c>
      <c r="K93" s="3" t="s">
        <v>129</v>
      </c>
      <c r="L93" s="4" t="s">
        <v>237</v>
      </c>
      <c r="M93" s="19"/>
      <c r="N93" s="3" t="str">
        <f>HYPERLINK("https://www.stromypodkontrolou.cz/map/tree/eb9fcfc1-f6fa-405f-85c7-690b2fb79ecd/effc95d0-470e-49c6-938c-92c8b7d57e62")</f>
        <v>https://www.stromypodkontrolou.cz/map/tree/eb9fcfc1-f6fa-405f-85c7-690b2fb79ecd/effc95d0-470e-49c6-938c-92c8b7d57e62</v>
      </c>
      <c r="O93" s="3" t="str">
        <f>HYPERLINK("https://www.mapy.cz?st=search&amp;fr=49.66701432 18.68200879")</f>
        <v>https://www.mapy.cz?st=search&amp;fr=49.66701432 18.68200879</v>
      </c>
    </row>
    <row r="94" spans="1:15" ht="120">
      <c r="A94" s="11">
        <v>73</v>
      </c>
      <c r="B94" s="3" t="s">
        <v>13</v>
      </c>
      <c r="C94" s="3" t="s">
        <v>238</v>
      </c>
      <c r="D94" s="4">
        <v>1</v>
      </c>
      <c r="E94" s="5" t="s">
        <v>239</v>
      </c>
      <c r="F94" s="3" t="s">
        <v>240</v>
      </c>
      <c r="G94" s="4" t="s">
        <v>135</v>
      </c>
      <c r="H94" s="4" t="s">
        <v>18</v>
      </c>
      <c r="I94" s="4" t="s">
        <v>20</v>
      </c>
      <c r="J94" s="3" t="s">
        <v>172</v>
      </c>
      <c r="K94" s="3" t="s">
        <v>89</v>
      </c>
      <c r="L94" s="4" t="s">
        <v>149</v>
      </c>
      <c r="M94" s="19"/>
      <c r="N94" s="3" t="str">
        <f>HYPERLINK("https://www.stromypodkontrolou.cz/map/tree/eb9fcfc1-f6fa-405f-85c7-690b2fb79ecd/685ca97e-0b32-4f83-b7b8-7980f55eb4a0")</f>
        <v>https://www.stromypodkontrolou.cz/map/tree/eb9fcfc1-f6fa-405f-85c7-690b2fb79ecd/685ca97e-0b32-4f83-b7b8-7980f55eb4a0</v>
      </c>
      <c r="O94" s="3" t="str">
        <f>HYPERLINK("https://www.mapy.cz?st=search&amp;fr=49.67155841 18.65916861")</f>
        <v>https://www.mapy.cz?st=search&amp;fr=49.67155841 18.65916861</v>
      </c>
    </row>
    <row r="95" spans="1:15" ht="120">
      <c r="A95" s="11">
        <v>74</v>
      </c>
      <c r="B95" s="3" t="s">
        <v>13</v>
      </c>
      <c r="C95" s="3" t="s">
        <v>238</v>
      </c>
      <c r="D95" s="4">
        <v>6</v>
      </c>
      <c r="E95" s="5" t="s">
        <v>241</v>
      </c>
      <c r="F95" s="3" t="s">
        <v>242</v>
      </c>
      <c r="G95" s="4" t="s">
        <v>243</v>
      </c>
      <c r="H95" s="4" t="s">
        <v>132</v>
      </c>
      <c r="I95" s="4" t="s">
        <v>27</v>
      </c>
      <c r="J95" s="3"/>
      <c r="K95" s="3" t="s">
        <v>38</v>
      </c>
      <c r="L95" s="4" t="s">
        <v>229</v>
      </c>
      <c r="M95" s="19"/>
      <c r="N95" s="3" t="str">
        <f>HYPERLINK("https://www.stromypodkontrolou.cz/map/tree/eb9fcfc1-f6fa-405f-85c7-690b2fb79ecd/355de7a7-a52e-4414-9614-1c60db8f1662")</f>
        <v>https://www.stromypodkontrolou.cz/map/tree/eb9fcfc1-f6fa-405f-85c7-690b2fb79ecd/355de7a7-a52e-4414-9614-1c60db8f1662</v>
      </c>
      <c r="O95" s="3" t="str">
        <f>HYPERLINK("https://www.mapy.cz?st=search&amp;fr=49.67159226 18.65927221")</f>
        <v>https://www.mapy.cz?st=search&amp;fr=49.67159226 18.65927221</v>
      </c>
    </row>
    <row r="96" spans="1:15" ht="120">
      <c r="A96" s="11">
        <v>75</v>
      </c>
      <c r="B96" s="3" t="s">
        <v>13</v>
      </c>
      <c r="C96" s="3" t="s">
        <v>238</v>
      </c>
      <c r="D96" s="4">
        <v>8</v>
      </c>
      <c r="E96" s="5" t="s">
        <v>244</v>
      </c>
      <c r="F96" s="3" t="s">
        <v>245</v>
      </c>
      <c r="G96" s="4" t="s">
        <v>65</v>
      </c>
      <c r="H96" s="4" t="s">
        <v>132</v>
      </c>
      <c r="I96" s="4" t="s">
        <v>20</v>
      </c>
      <c r="J96" s="3"/>
      <c r="K96" s="3" t="s">
        <v>23</v>
      </c>
      <c r="L96" s="4" t="s">
        <v>118</v>
      </c>
      <c r="M96" s="19"/>
      <c r="N96" s="3" t="str">
        <f>HYPERLINK("https://www.stromypodkontrolou.cz/map/tree/eb9fcfc1-f6fa-405f-85c7-690b2fb79ecd/34fc37aa-1286-490c-b9cf-2a6ad8ef0582")</f>
        <v>https://www.stromypodkontrolou.cz/map/tree/eb9fcfc1-f6fa-405f-85c7-690b2fb79ecd/34fc37aa-1286-490c-b9cf-2a6ad8ef0582</v>
      </c>
      <c r="O96" s="3" t="str">
        <f>HYPERLINK("https://www.mapy.cz?st=search&amp;fr=49.67152195 18.65933189")</f>
        <v>https://www.mapy.cz?st=search&amp;fr=49.67152195 18.65933189</v>
      </c>
    </row>
    <row r="97" spans="1:15" ht="120">
      <c r="A97" s="11">
        <v>76</v>
      </c>
      <c r="B97" s="3" t="s">
        <v>13</v>
      </c>
      <c r="C97" s="3" t="s">
        <v>238</v>
      </c>
      <c r="D97" s="4">
        <v>11</v>
      </c>
      <c r="E97" s="5" t="s">
        <v>241</v>
      </c>
      <c r="F97" s="3" t="s">
        <v>242</v>
      </c>
      <c r="G97" s="4" t="s">
        <v>135</v>
      </c>
      <c r="H97" s="4" t="s">
        <v>132</v>
      </c>
      <c r="I97" s="4" t="s">
        <v>50</v>
      </c>
      <c r="J97" s="3"/>
      <c r="K97" s="3" t="s">
        <v>38</v>
      </c>
      <c r="L97" s="4" t="s">
        <v>229</v>
      </c>
      <c r="M97" s="19"/>
      <c r="N97" s="3" t="str">
        <f>HYPERLINK("https://www.stromypodkontrolou.cz/map/tree/eb9fcfc1-f6fa-405f-85c7-690b2fb79ecd/158c4214-cbf5-4fb6-90b2-99eab9094d33")</f>
        <v>https://www.stromypodkontrolou.cz/map/tree/eb9fcfc1-f6fa-405f-85c7-690b2fb79ecd/158c4214-cbf5-4fb6-90b2-99eab9094d33</v>
      </c>
      <c r="O97" s="3" t="str">
        <f>HYPERLINK("https://www.mapy.cz?st=search&amp;fr=49.67163370 18.65944991")</f>
        <v>https://www.mapy.cz?st=search&amp;fr=49.67163370 18.65944991</v>
      </c>
    </row>
    <row r="98" spans="1:15" ht="120">
      <c r="A98" s="11">
        <v>77</v>
      </c>
      <c r="B98" s="3" t="s">
        <v>13</v>
      </c>
      <c r="C98" s="3" t="s">
        <v>238</v>
      </c>
      <c r="D98" s="4">
        <v>13</v>
      </c>
      <c r="E98" s="5" t="s">
        <v>244</v>
      </c>
      <c r="F98" s="3" t="s">
        <v>245</v>
      </c>
      <c r="G98" s="4" t="s">
        <v>34</v>
      </c>
      <c r="H98" s="4" t="s">
        <v>111</v>
      </c>
      <c r="I98" s="4" t="s">
        <v>20</v>
      </c>
      <c r="J98" s="3"/>
      <c r="K98" s="3" t="s">
        <v>23</v>
      </c>
      <c r="L98" s="4" t="s">
        <v>118</v>
      </c>
      <c r="M98" s="19"/>
      <c r="N98" s="3" t="str">
        <f>HYPERLINK("https://www.stromypodkontrolou.cz/map/tree/eb9fcfc1-f6fa-405f-85c7-690b2fb79ecd/a341905a-2411-4307-a60b-5ae7b3fa3e10")</f>
        <v>https://www.stromypodkontrolou.cz/map/tree/eb9fcfc1-f6fa-405f-85c7-690b2fb79ecd/a341905a-2411-4307-a60b-5ae7b3fa3e10</v>
      </c>
      <c r="O98" s="3" t="str">
        <f>HYPERLINK("https://www.mapy.cz?st=search&amp;fr=49.67154474 18.65944924")</f>
        <v>https://www.mapy.cz?st=search&amp;fr=49.67154474 18.65944924</v>
      </c>
    </row>
    <row r="99" spans="1:15" ht="120">
      <c r="A99" s="11">
        <v>78</v>
      </c>
      <c r="B99" s="3" t="s">
        <v>13</v>
      </c>
      <c r="C99" s="3" t="s">
        <v>238</v>
      </c>
      <c r="D99" s="4">
        <v>14</v>
      </c>
      <c r="E99" s="5" t="s">
        <v>246</v>
      </c>
      <c r="F99" s="3" t="s">
        <v>247</v>
      </c>
      <c r="G99" s="4" t="s">
        <v>227</v>
      </c>
      <c r="H99" s="4" t="s">
        <v>231</v>
      </c>
      <c r="I99" s="4" t="s">
        <v>27</v>
      </c>
      <c r="J99" s="3"/>
      <c r="K99" s="3" t="s">
        <v>38</v>
      </c>
      <c r="L99" s="4" t="s">
        <v>229</v>
      </c>
      <c r="M99" s="19"/>
      <c r="N99" s="3" t="str">
        <f>HYPERLINK("https://www.stromypodkontrolou.cz/map/tree/eb9fcfc1-f6fa-405f-85c7-690b2fb79ecd/44999359-9827-4aa7-8575-efa97e230211")</f>
        <v>https://www.stromypodkontrolou.cz/map/tree/eb9fcfc1-f6fa-405f-85c7-690b2fb79ecd/44999359-9827-4aa7-8575-efa97e230211</v>
      </c>
      <c r="O99" s="3" t="str">
        <f>HYPERLINK("https://www.mapy.cz?st=search&amp;fr=49.67149071 18.65941940")</f>
        <v>https://www.mapy.cz?st=search&amp;fr=49.67149071 18.65941940</v>
      </c>
    </row>
    <row r="100" spans="1:15" ht="120">
      <c r="A100" s="11">
        <v>79</v>
      </c>
      <c r="B100" s="3" t="s">
        <v>13</v>
      </c>
      <c r="C100" s="3" t="s">
        <v>238</v>
      </c>
      <c r="D100" s="4">
        <v>17</v>
      </c>
      <c r="E100" s="5" t="s">
        <v>248</v>
      </c>
      <c r="F100" s="3" t="s">
        <v>249</v>
      </c>
      <c r="G100" s="4" t="s">
        <v>34</v>
      </c>
      <c r="H100" s="4" t="s">
        <v>18</v>
      </c>
      <c r="I100" s="4" t="s">
        <v>20</v>
      </c>
      <c r="J100" s="3" t="s">
        <v>250</v>
      </c>
      <c r="K100" s="3" t="s">
        <v>23</v>
      </c>
      <c r="L100" s="4" t="s">
        <v>24</v>
      </c>
      <c r="M100" s="19"/>
      <c r="N100" s="3" t="str">
        <f>HYPERLINK("https://www.stromypodkontrolou.cz/map/tree/eb9fcfc1-f6fa-405f-85c7-690b2fb79ecd/5c0ffb2f-fee3-423a-8e68-823ff40681b1")</f>
        <v>https://www.stromypodkontrolou.cz/map/tree/eb9fcfc1-f6fa-405f-85c7-690b2fb79ecd/5c0ffb2f-fee3-423a-8e68-823ff40681b1</v>
      </c>
      <c r="O100" s="3" t="str">
        <f>HYPERLINK("https://www.mapy.cz?st=search&amp;fr=49.67152000 18.65955250")</f>
        <v>https://www.mapy.cz?st=search&amp;fr=49.67152000 18.65955250</v>
      </c>
    </row>
    <row r="101" spans="1:15" ht="120">
      <c r="A101" s="11">
        <v>80</v>
      </c>
      <c r="B101" s="3" t="s">
        <v>13</v>
      </c>
      <c r="C101" s="3" t="s">
        <v>238</v>
      </c>
      <c r="D101" s="4">
        <v>18</v>
      </c>
      <c r="E101" s="5" t="s">
        <v>248</v>
      </c>
      <c r="F101" s="3" t="s">
        <v>249</v>
      </c>
      <c r="G101" s="4" t="s">
        <v>17</v>
      </c>
      <c r="H101" s="4" t="s">
        <v>18</v>
      </c>
      <c r="I101" s="4" t="s">
        <v>20</v>
      </c>
      <c r="J101" s="3" t="s">
        <v>250</v>
      </c>
      <c r="K101" s="3" t="s">
        <v>38</v>
      </c>
      <c r="L101" s="4" t="s">
        <v>114</v>
      </c>
      <c r="M101" s="19"/>
      <c r="N101" s="3" t="str">
        <f>HYPERLINK("https://www.stromypodkontrolou.cz/map/tree/eb9fcfc1-f6fa-405f-85c7-690b2fb79ecd/25a78448-c5d9-4f08-8a24-12b0645658ae")</f>
        <v>https://www.stromypodkontrolou.cz/map/tree/eb9fcfc1-f6fa-405f-85c7-690b2fb79ecd/25a78448-c5d9-4f08-8a24-12b0645658ae</v>
      </c>
      <c r="O101" s="3" t="str">
        <f>HYPERLINK("https://www.mapy.cz?st=search&amp;fr=49.67154864 18.65952937")</f>
        <v>https://www.mapy.cz?st=search&amp;fr=49.67154864 18.65952937</v>
      </c>
    </row>
    <row r="102" spans="1:15" ht="120">
      <c r="A102" s="11">
        <v>81</v>
      </c>
      <c r="B102" s="3" t="s">
        <v>13</v>
      </c>
      <c r="C102" s="3" t="s">
        <v>238</v>
      </c>
      <c r="D102" s="4">
        <v>19</v>
      </c>
      <c r="E102" s="5" t="s">
        <v>244</v>
      </c>
      <c r="F102" s="3" t="s">
        <v>245</v>
      </c>
      <c r="G102" s="4" t="s">
        <v>34</v>
      </c>
      <c r="H102" s="4" t="s">
        <v>117</v>
      </c>
      <c r="I102" s="4" t="s">
        <v>21</v>
      </c>
      <c r="J102" s="3"/>
      <c r="K102" s="3" t="s">
        <v>23</v>
      </c>
      <c r="L102" s="4" t="s">
        <v>118</v>
      </c>
      <c r="M102" s="19"/>
      <c r="N102" s="3" t="str">
        <f>HYPERLINK("https://www.stromypodkontrolou.cz/map/tree/eb9fcfc1-f6fa-405f-85c7-690b2fb79ecd/0391d730-642e-48df-997c-01babfba515b")</f>
        <v>https://www.stromypodkontrolou.cz/map/tree/eb9fcfc1-f6fa-405f-85c7-690b2fb79ecd/0391d730-642e-48df-997c-01babfba515b</v>
      </c>
      <c r="O102" s="3" t="str">
        <f>HYPERLINK("https://www.mapy.cz?st=search&amp;fr=49.67150850 18.65968426")</f>
        <v>https://www.mapy.cz?st=search&amp;fr=49.67150850 18.65968426</v>
      </c>
    </row>
    <row r="103" spans="1:15" ht="120">
      <c r="A103" s="11">
        <v>82</v>
      </c>
      <c r="B103" s="3" t="s">
        <v>13</v>
      </c>
      <c r="C103" s="3" t="s">
        <v>238</v>
      </c>
      <c r="D103" s="4">
        <v>20</v>
      </c>
      <c r="E103" s="5" t="s">
        <v>248</v>
      </c>
      <c r="F103" s="3" t="s">
        <v>249</v>
      </c>
      <c r="G103" s="4" t="s">
        <v>65</v>
      </c>
      <c r="H103" s="4" t="s">
        <v>18</v>
      </c>
      <c r="I103" s="4" t="s">
        <v>20</v>
      </c>
      <c r="J103" s="3"/>
      <c r="K103" s="3" t="s">
        <v>23</v>
      </c>
      <c r="L103" s="4" t="s">
        <v>24</v>
      </c>
      <c r="M103" s="19"/>
      <c r="N103" s="3" t="str">
        <f>HYPERLINK("https://www.stromypodkontrolou.cz/map/tree/eb9fcfc1-f6fa-405f-85c7-690b2fb79ecd/5b2e63ec-8b81-44cb-b0c5-409c37d2ec36")</f>
        <v>https://www.stromypodkontrolou.cz/map/tree/eb9fcfc1-f6fa-405f-85c7-690b2fb79ecd/5b2e63ec-8b81-44cb-b0c5-409c37d2ec36</v>
      </c>
      <c r="O103" s="3" t="str">
        <f>HYPERLINK("https://www.mapy.cz?st=search&amp;fr=49.67157685 18.65963129")</f>
        <v>https://www.mapy.cz?st=search&amp;fr=49.67157685 18.65963129</v>
      </c>
    </row>
    <row r="104" spans="1:15" ht="120">
      <c r="A104" s="11">
        <v>83</v>
      </c>
      <c r="B104" s="3" t="s">
        <v>13</v>
      </c>
      <c r="C104" s="3" t="s">
        <v>238</v>
      </c>
      <c r="D104" s="4">
        <v>21</v>
      </c>
      <c r="E104" s="5" t="s">
        <v>251</v>
      </c>
      <c r="F104" s="3" t="s">
        <v>252</v>
      </c>
      <c r="G104" s="4" t="s">
        <v>99</v>
      </c>
      <c r="H104" s="4" t="s">
        <v>213</v>
      </c>
      <c r="I104" s="4" t="s">
        <v>20</v>
      </c>
      <c r="J104" s="3"/>
      <c r="K104" s="3" t="s">
        <v>23</v>
      </c>
      <c r="L104" s="4" t="s">
        <v>118</v>
      </c>
      <c r="M104" s="19"/>
      <c r="N104" s="3" t="str">
        <f>HYPERLINK("https://www.stromypodkontrolou.cz/map/tree/eb9fcfc1-f6fa-405f-85c7-690b2fb79ecd/0c84a626-792f-43ba-b740-bb66a88461ff")</f>
        <v>https://www.stromypodkontrolou.cz/map/tree/eb9fcfc1-f6fa-405f-85c7-690b2fb79ecd/0c84a626-792f-43ba-b740-bb66a88461ff</v>
      </c>
      <c r="O104" s="3" t="str">
        <f>HYPERLINK("https://www.mapy.cz?st=search&amp;fr=49.67163826 18.65959240")</f>
        <v>https://www.mapy.cz?st=search&amp;fr=49.67163826 18.65959240</v>
      </c>
    </row>
    <row r="105" spans="1:15" ht="120">
      <c r="A105" s="11">
        <v>84</v>
      </c>
      <c r="B105" s="3" t="s">
        <v>13</v>
      </c>
      <c r="C105" s="3" t="s">
        <v>238</v>
      </c>
      <c r="D105" s="4">
        <v>22</v>
      </c>
      <c r="E105" s="5" t="s">
        <v>251</v>
      </c>
      <c r="F105" s="3" t="s">
        <v>252</v>
      </c>
      <c r="G105" s="4" t="s">
        <v>253</v>
      </c>
      <c r="H105" s="4" t="s">
        <v>213</v>
      </c>
      <c r="I105" s="4" t="s">
        <v>20</v>
      </c>
      <c r="J105" s="3"/>
      <c r="K105" s="3" t="s">
        <v>23</v>
      </c>
      <c r="L105" s="4" t="s">
        <v>118</v>
      </c>
      <c r="M105" s="19"/>
      <c r="N105" s="3" t="str">
        <f>HYPERLINK("https://www.stromypodkontrolou.cz/map/tree/eb9fcfc1-f6fa-405f-85c7-690b2fb79ecd/aca3a7a1-f641-4b4b-8630-b2e620fa526f")</f>
        <v>https://www.stromypodkontrolou.cz/map/tree/eb9fcfc1-f6fa-405f-85c7-690b2fb79ecd/aca3a7a1-f641-4b4b-8630-b2e620fa526f</v>
      </c>
      <c r="O105" s="3" t="str">
        <f>HYPERLINK("https://www.mapy.cz?st=search&amp;fr=49.67166169 18.65965744")</f>
        <v>https://www.mapy.cz?st=search&amp;fr=49.67166169 18.65965744</v>
      </c>
    </row>
    <row r="106" spans="1:15" ht="120">
      <c r="A106" s="11">
        <v>85</v>
      </c>
      <c r="B106" s="3" t="s">
        <v>13</v>
      </c>
      <c r="C106" s="3" t="s">
        <v>238</v>
      </c>
      <c r="D106" s="4">
        <v>23</v>
      </c>
      <c r="E106" s="5" t="s">
        <v>244</v>
      </c>
      <c r="F106" s="3" t="s">
        <v>245</v>
      </c>
      <c r="G106" s="4" t="s">
        <v>25</v>
      </c>
      <c r="H106" s="4" t="s">
        <v>111</v>
      </c>
      <c r="I106" s="4" t="s">
        <v>21</v>
      </c>
      <c r="J106" s="3"/>
      <c r="K106" s="3" t="s">
        <v>23</v>
      </c>
      <c r="L106" s="4" t="s">
        <v>118</v>
      </c>
      <c r="M106" s="19"/>
      <c r="N106" s="3" t="str">
        <f>HYPERLINK("https://www.stromypodkontrolou.cz/map/tree/eb9fcfc1-f6fa-405f-85c7-690b2fb79ecd/48234249-3092-4554-8865-2a4c94a5ba07")</f>
        <v>https://www.stromypodkontrolou.cz/map/tree/eb9fcfc1-f6fa-405f-85c7-690b2fb79ecd/48234249-3092-4554-8865-2a4c94a5ba07</v>
      </c>
      <c r="O106" s="3" t="str">
        <f>HYPERLINK("https://www.mapy.cz?st=search&amp;fr=49.67167970 18.65977848")</f>
        <v>https://www.mapy.cz?st=search&amp;fr=49.67167970 18.65977848</v>
      </c>
    </row>
    <row r="107" spans="1:15" ht="120">
      <c r="A107" s="11">
        <v>86</v>
      </c>
      <c r="B107" s="3" t="s">
        <v>13</v>
      </c>
      <c r="C107" s="3" t="s">
        <v>238</v>
      </c>
      <c r="D107" s="4">
        <v>24</v>
      </c>
      <c r="E107" s="5" t="s">
        <v>244</v>
      </c>
      <c r="F107" s="3" t="s">
        <v>245</v>
      </c>
      <c r="G107" s="4" t="s">
        <v>25</v>
      </c>
      <c r="H107" s="4" t="s">
        <v>111</v>
      </c>
      <c r="I107" s="4" t="s">
        <v>21</v>
      </c>
      <c r="J107" s="3"/>
      <c r="K107" s="3" t="s">
        <v>23</v>
      </c>
      <c r="L107" s="4" t="s">
        <v>118</v>
      </c>
      <c r="M107" s="19"/>
      <c r="N107" s="3" t="str">
        <f>HYPERLINK("https://www.stromypodkontrolou.cz/map/tree/eb9fcfc1-f6fa-405f-85c7-690b2fb79ecd/278f4a31-3065-47b7-8ed7-8bd53ed1843f")</f>
        <v>https://www.stromypodkontrolou.cz/map/tree/eb9fcfc1-f6fa-405f-85c7-690b2fb79ecd/278f4a31-3065-47b7-8ed7-8bd53ed1843f</v>
      </c>
      <c r="O107" s="3" t="str">
        <f>HYPERLINK("https://www.mapy.cz?st=search&amp;fr=49.67177170 18.65980195")</f>
        <v>https://www.mapy.cz?st=search&amp;fr=49.67177170 18.65980195</v>
      </c>
    </row>
    <row r="108" spans="1:15" ht="36">
      <c r="A108" s="16">
        <v>87</v>
      </c>
      <c r="B108" s="13" t="s">
        <v>13</v>
      </c>
      <c r="C108" s="13" t="s">
        <v>238</v>
      </c>
      <c r="D108" s="18">
        <v>27</v>
      </c>
      <c r="E108" s="15" t="s">
        <v>254</v>
      </c>
      <c r="F108" s="13" t="s">
        <v>255</v>
      </c>
      <c r="G108" s="18" t="s">
        <v>256</v>
      </c>
      <c r="H108" s="18" t="s">
        <v>79</v>
      </c>
      <c r="I108" s="18" t="s">
        <v>80</v>
      </c>
      <c r="J108" s="13" t="s">
        <v>257</v>
      </c>
      <c r="K108" s="3" t="s">
        <v>71</v>
      </c>
      <c r="L108" s="4" t="s">
        <v>258</v>
      </c>
      <c r="M108" s="19"/>
      <c r="N108" s="13" t="str">
        <f>HYPERLINK("https://www.stromypodkontrolou.cz/map/tree/eb9fcfc1-f6fa-405f-85c7-690b2fb79ecd/96353632-c7be-41fb-951c-370258f4f435")</f>
        <v>https://www.stromypodkontrolou.cz/map/tree/eb9fcfc1-f6fa-405f-85c7-690b2fb79ecd/96353632-c7be-41fb-951c-370258f4f435</v>
      </c>
      <c r="O108" s="13" t="str">
        <f>HYPERLINK("https://www.mapy.cz?st=search&amp;fr=49.67176953 18.65967253")</f>
        <v>https://www.mapy.cz?st=search&amp;fr=49.67176953 18.65967253</v>
      </c>
    </row>
    <row r="109" spans="1:15" ht="12.75">
      <c r="A109" s="16"/>
      <c r="B109" s="13"/>
      <c r="C109" s="13"/>
      <c r="D109" s="18"/>
      <c r="E109" s="15"/>
      <c r="F109" s="13"/>
      <c r="G109" s="18"/>
      <c r="H109" s="18"/>
      <c r="I109" s="18"/>
      <c r="J109" s="13"/>
      <c r="K109" s="3" t="s">
        <v>129</v>
      </c>
      <c r="L109" s="4" t="s">
        <v>259</v>
      </c>
      <c r="M109" s="19"/>
      <c r="N109" s="13"/>
      <c r="O109" s="13"/>
    </row>
    <row r="110" spans="1:15" ht="36">
      <c r="A110" s="16">
        <v>88</v>
      </c>
      <c r="B110" s="13" t="s">
        <v>13</v>
      </c>
      <c r="C110" s="13" t="s">
        <v>260</v>
      </c>
      <c r="D110" s="18">
        <v>1</v>
      </c>
      <c r="E110" s="15" t="s">
        <v>115</v>
      </c>
      <c r="F110" s="13" t="s">
        <v>116</v>
      </c>
      <c r="G110" s="18" t="s">
        <v>261</v>
      </c>
      <c r="H110" s="18" t="s">
        <v>106</v>
      </c>
      <c r="I110" s="18" t="s">
        <v>262</v>
      </c>
      <c r="J110" s="13" t="s">
        <v>263</v>
      </c>
      <c r="K110" s="6" t="s">
        <v>264</v>
      </c>
      <c r="L110" s="4" t="s">
        <v>265</v>
      </c>
      <c r="M110" s="19"/>
      <c r="N110" s="13" t="str">
        <f>HYPERLINK("https://www.stromypodkontrolou.cz/map/tree/eb9fcfc1-f6fa-405f-85c7-690b2fb79ecd/f199b3cc-5d84-405f-ab04-28a70a8875d0")</f>
        <v>https://www.stromypodkontrolou.cz/map/tree/eb9fcfc1-f6fa-405f-85c7-690b2fb79ecd/f199b3cc-5d84-405f-ab04-28a70a8875d0</v>
      </c>
      <c r="O110" s="13" t="str">
        <f>HYPERLINK("https://www.mapy.cz?st=search&amp;fr=49.67759941 18.67142573")</f>
        <v>https://www.mapy.cz?st=search&amp;fr=49.67759941 18.67142573</v>
      </c>
    </row>
    <row r="111" spans="1:15" ht="36">
      <c r="A111" s="16"/>
      <c r="B111" s="13"/>
      <c r="C111" s="13"/>
      <c r="D111" s="18"/>
      <c r="E111" s="15"/>
      <c r="F111" s="13"/>
      <c r="G111" s="18"/>
      <c r="H111" s="18"/>
      <c r="I111" s="18"/>
      <c r="J111" s="13"/>
      <c r="K111" s="3" t="s">
        <v>71</v>
      </c>
      <c r="L111" s="4" t="s">
        <v>266</v>
      </c>
      <c r="M111" s="19"/>
      <c r="N111" s="13"/>
      <c r="O111" s="13"/>
    </row>
    <row r="112" spans="1:15" ht="36">
      <c r="A112" s="16"/>
      <c r="B112" s="13"/>
      <c r="C112" s="13"/>
      <c r="D112" s="18"/>
      <c r="E112" s="15"/>
      <c r="F112" s="13"/>
      <c r="G112" s="18"/>
      <c r="H112" s="18"/>
      <c r="I112" s="18"/>
      <c r="J112" s="13"/>
      <c r="K112" s="3" t="s">
        <v>36</v>
      </c>
      <c r="L112" s="4" t="s">
        <v>267</v>
      </c>
      <c r="M112" s="19"/>
      <c r="N112" s="13"/>
      <c r="O112" s="13"/>
    </row>
    <row r="113" spans="1:15" ht="24">
      <c r="A113" s="16"/>
      <c r="B113" s="13"/>
      <c r="C113" s="13"/>
      <c r="D113" s="18"/>
      <c r="E113" s="15"/>
      <c r="F113" s="13"/>
      <c r="G113" s="18"/>
      <c r="H113" s="18"/>
      <c r="I113" s="18"/>
      <c r="J113" s="13"/>
      <c r="K113" s="6" t="s">
        <v>268</v>
      </c>
      <c r="L113" s="4" t="s">
        <v>265</v>
      </c>
      <c r="M113" s="19"/>
      <c r="N113" s="13"/>
      <c r="O113" s="13"/>
    </row>
    <row r="114" spans="1:15" ht="24">
      <c r="A114" s="16"/>
      <c r="B114" s="13"/>
      <c r="C114" s="13"/>
      <c r="D114" s="18"/>
      <c r="E114" s="15"/>
      <c r="F114" s="13"/>
      <c r="G114" s="18"/>
      <c r="H114" s="18"/>
      <c r="I114" s="18"/>
      <c r="J114" s="13"/>
      <c r="K114" s="3" t="s">
        <v>197</v>
      </c>
      <c r="L114" s="4" t="s">
        <v>269</v>
      </c>
      <c r="M114" s="19"/>
      <c r="N114" s="13"/>
      <c r="O114" s="13"/>
    </row>
    <row r="115" spans="1:15" ht="60">
      <c r="A115" s="16">
        <v>89</v>
      </c>
      <c r="B115" s="13" t="s">
        <v>13</v>
      </c>
      <c r="C115" s="13" t="s">
        <v>260</v>
      </c>
      <c r="D115" s="18">
        <v>195</v>
      </c>
      <c r="E115" s="15" t="s">
        <v>133</v>
      </c>
      <c r="F115" s="13" t="s">
        <v>134</v>
      </c>
      <c r="G115" s="18" t="s">
        <v>270</v>
      </c>
      <c r="H115" s="18" t="s">
        <v>97</v>
      </c>
      <c r="I115" s="18" t="s">
        <v>87</v>
      </c>
      <c r="J115" s="13" t="s">
        <v>271</v>
      </c>
      <c r="K115" s="6" t="s">
        <v>103</v>
      </c>
      <c r="L115" s="4" t="s">
        <v>272</v>
      </c>
      <c r="M115" s="19"/>
      <c r="N115" s="13" t="str">
        <f>HYPERLINK("https://www.stromypodkontrolou.cz/map/tree/eb9fcfc1-f6fa-405f-85c7-690b2fb79ecd/684782f6-6720-48f2-a01e-2a282588e583")</f>
        <v>https://www.stromypodkontrolou.cz/map/tree/eb9fcfc1-f6fa-405f-85c7-690b2fb79ecd/684782f6-6720-48f2-a01e-2a282588e583</v>
      </c>
      <c r="O115" s="13" t="str">
        <f>HYPERLINK("https://www.mapy.cz?st=search&amp;fr=49.66940962 18.68187136")</f>
        <v>https://www.mapy.cz?st=search&amp;fr=49.66940962 18.68187136</v>
      </c>
    </row>
    <row r="116" spans="1:15" ht="36">
      <c r="A116" s="16"/>
      <c r="B116" s="13"/>
      <c r="C116" s="13"/>
      <c r="D116" s="18"/>
      <c r="E116" s="15"/>
      <c r="F116" s="13"/>
      <c r="G116" s="18"/>
      <c r="H116" s="18"/>
      <c r="I116" s="18"/>
      <c r="J116" s="13"/>
      <c r="K116" s="3" t="s">
        <v>38</v>
      </c>
      <c r="L116" s="4" t="s">
        <v>273</v>
      </c>
      <c r="M116" s="19"/>
      <c r="N116" s="13"/>
      <c r="O116" s="13"/>
    </row>
    <row r="117" spans="1:15" ht="120">
      <c r="A117" s="10">
        <v>90</v>
      </c>
      <c r="B117" s="3" t="s">
        <v>13</v>
      </c>
      <c r="C117" s="3" t="s">
        <v>260</v>
      </c>
      <c r="D117" s="4">
        <v>443</v>
      </c>
      <c r="E117" s="5" t="s">
        <v>29</v>
      </c>
      <c r="F117" s="3" t="s">
        <v>30</v>
      </c>
      <c r="G117" s="4" t="s">
        <v>87</v>
      </c>
      <c r="H117" s="4" t="s">
        <v>18</v>
      </c>
      <c r="I117" s="4" t="s">
        <v>20</v>
      </c>
      <c r="J117" s="3"/>
      <c r="K117" s="3" t="s">
        <v>23</v>
      </c>
      <c r="L117" s="4" t="s">
        <v>24</v>
      </c>
      <c r="M117" s="19"/>
      <c r="N117" s="3" t="str">
        <f>HYPERLINK("https://www.stromypodkontrolou.cz/map/tree/eb9fcfc1-f6fa-405f-85c7-690b2fb79ecd/1a17dc46-c036-4580-9856-d9fb1f58c282")</f>
        <v>https://www.stromypodkontrolou.cz/map/tree/eb9fcfc1-f6fa-405f-85c7-690b2fb79ecd/1a17dc46-c036-4580-9856-d9fb1f58c282</v>
      </c>
      <c r="O117" s="3" t="str">
        <f>HYPERLINK("https://www.mapy.cz?st=search&amp;fr=49.66688563 18.68474818")</f>
        <v>https://www.mapy.cz?st=search&amp;fr=49.66688563 18.68474818</v>
      </c>
    </row>
    <row r="118" spans="1:15" ht="120">
      <c r="A118" s="10">
        <v>91</v>
      </c>
      <c r="B118" s="3" t="s">
        <v>13</v>
      </c>
      <c r="C118" s="3" t="s">
        <v>260</v>
      </c>
      <c r="D118" s="4">
        <v>444</v>
      </c>
      <c r="E118" s="5" t="s">
        <v>29</v>
      </c>
      <c r="F118" s="3" t="s">
        <v>30</v>
      </c>
      <c r="G118" s="4" t="s">
        <v>99</v>
      </c>
      <c r="H118" s="4" t="s">
        <v>117</v>
      </c>
      <c r="I118" s="4" t="s">
        <v>50</v>
      </c>
      <c r="J118" s="3"/>
      <c r="K118" s="3" t="s">
        <v>23</v>
      </c>
      <c r="L118" s="4" t="s">
        <v>118</v>
      </c>
      <c r="M118" s="19"/>
      <c r="N118" s="3" t="str">
        <f>HYPERLINK("https://www.stromypodkontrolou.cz/map/tree/eb9fcfc1-f6fa-405f-85c7-690b2fb79ecd/b6ccce20-477e-4d20-91e3-b7385dc58306")</f>
        <v>https://www.stromypodkontrolou.cz/map/tree/eb9fcfc1-f6fa-405f-85c7-690b2fb79ecd/b6ccce20-477e-4d20-91e3-b7385dc58306</v>
      </c>
      <c r="O118" s="3" t="str">
        <f>HYPERLINK("https://www.mapy.cz?st=search&amp;fr=49.66706217 18.68440983")</f>
        <v>https://www.mapy.cz?st=search&amp;fr=49.66706217 18.68440983</v>
      </c>
    </row>
    <row r="119" spans="1:15" ht="120">
      <c r="A119" s="10">
        <v>92</v>
      </c>
      <c r="B119" s="3" t="s">
        <v>13</v>
      </c>
      <c r="C119" s="3" t="s">
        <v>260</v>
      </c>
      <c r="D119" s="4">
        <v>448</v>
      </c>
      <c r="E119" s="5" t="s">
        <v>274</v>
      </c>
      <c r="F119" s="3" t="s">
        <v>275</v>
      </c>
      <c r="G119" s="4" t="s">
        <v>34</v>
      </c>
      <c r="H119" s="4" t="s">
        <v>117</v>
      </c>
      <c r="I119" s="4" t="s">
        <v>21</v>
      </c>
      <c r="J119" s="3"/>
      <c r="K119" s="3" t="s">
        <v>23</v>
      </c>
      <c r="L119" s="4" t="s">
        <v>118</v>
      </c>
      <c r="M119" s="19"/>
      <c r="N119" s="3" t="str">
        <f>HYPERLINK("https://www.stromypodkontrolou.cz/map/tree/eb9fcfc1-f6fa-405f-85c7-690b2fb79ecd/9926cb14-cbf0-4781-9f9d-3281d5a34114")</f>
        <v>https://www.stromypodkontrolou.cz/map/tree/eb9fcfc1-f6fa-405f-85c7-690b2fb79ecd/9926cb14-cbf0-4781-9f9d-3281d5a34114</v>
      </c>
      <c r="O119" s="3" t="str">
        <f>HYPERLINK("https://www.mapy.cz?st=search&amp;fr=49.67339761 18.67632946")</f>
        <v>https://www.mapy.cz?st=search&amp;fr=49.67339761 18.67632946</v>
      </c>
    </row>
    <row r="120" spans="1:15" ht="120">
      <c r="A120" s="10">
        <v>93</v>
      </c>
      <c r="B120" s="3" t="s">
        <v>13</v>
      </c>
      <c r="C120" s="3" t="s">
        <v>260</v>
      </c>
      <c r="D120" s="4">
        <v>449</v>
      </c>
      <c r="E120" s="5" t="s">
        <v>29</v>
      </c>
      <c r="F120" s="3" t="s">
        <v>30</v>
      </c>
      <c r="G120" s="4" t="s">
        <v>25</v>
      </c>
      <c r="H120" s="4" t="s">
        <v>117</v>
      </c>
      <c r="I120" s="4" t="s">
        <v>21</v>
      </c>
      <c r="J120" s="3"/>
      <c r="K120" s="3" t="s">
        <v>23</v>
      </c>
      <c r="L120" s="4" t="s">
        <v>118</v>
      </c>
      <c r="M120" s="19"/>
      <c r="N120" s="3" t="str">
        <f>HYPERLINK("https://www.stromypodkontrolou.cz/map/tree/eb9fcfc1-f6fa-405f-85c7-690b2fb79ecd/a918948f-a73b-44b1-a791-64f6d686d685")</f>
        <v>https://www.stromypodkontrolou.cz/map/tree/eb9fcfc1-f6fa-405f-85c7-690b2fb79ecd/a918948f-a73b-44b1-a791-64f6d686d685</v>
      </c>
      <c r="O120" s="3" t="str">
        <f>HYPERLINK("https://www.mapy.cz?st=search&amp;fr=49.66820336 18.68296351")</f>
        <v>https://www.mapy.cz?st=search&amp;fr=49.66820336 18.68296351</v>
      </c>
    </row>
    <row r="121" spans="1:15" ht="120">
      <c r="A121" s="10">
        <v>94</v>
      </c>
      <c r="B121" s="3" t="s">
        <v>13</v>
      </c>
      <c r="C121" s="3" t="s">
        <v>260</v>
      </c>
      <c r="D121" s="4">
        <v>451</v>
      </c>
      <c r="E121" s="5" t="s">
        <v>29</v>
      </c>
      <c r="F121" s="3" t="s">
        <v>30</v>
      </c>
      <c r="G121" s="4" t="s">
        <v>65</v>
      </c>
      <c r="H121" s="4" t="s">
        <v>111</v>
      </c>
      <c r="I121" s="4" t="s">
        <v>20</v>
      </c>
      <c r="J121" s="3"/>
      <c r="K121" s="3" t="s">
        <v>23</v>
      </c>
      <c r="L121" s="4" t="s">
        <v>118</v>
      </c>
      <c r="M121" s="19"/>
      <c r="N121" s="3" t="str">
        <f>HYPERLINK("https://www.stromypodkontrolou.cz/map/tree/eb9fcfc1-f6fa-405f-85c7-690b2fb79ecd/ba28d9f2-b1d5-45ac-9dd0-238d5fc3443a")</f>
        <v>https://www.stromypodkontrolou.cz/map/tree/eb9fcfc1-f6fa-405f-85c7-690b2fb79ecd/ba28d9f2-b1d5-45ac-9dd0-238d5fc3443a</v>
      </c>
      <c r="O121" s="3" t="str">
        <f>HYPERLINK("https://www.mapy.cz?st=search&amp;fr=49.66885912 18.68239924")</f>
        <v>https://www.mapy.cz?st=search&amp;fr=49.66885912 18.68239924</v>
      </c>
    </row>
    <row r="122" spans="1:15" ht="120">
      <c r="A122" s="10">
        <v>95</v>
      </c>
      <c r="B122" s="3" t="s">
        <v>13</v>
      </c>
      <c r="C122" s="3" t="s">
        <v>260</v>
      </c>
      <c r="D122" s="4">
        <v>452</v>
      </c>
      <c r="E122" s="5" t="s">
        <v>29</v>
      </c>
      <c r="F122" s="3" t="s">
        <v>30</v>
      </c>
      <c r="G122" s="4" t="s">
        <v>25</v>
      </c>
      <c r="H122" s="4" t="s">
        <v>18</v>
      </c>
      <c r="I122" s="4" t="s">
        <v>22</v>
      </c>
      <c r="J122" s="3"/>
      <c r="K122" s="3" t="s">
        <v>23</v>
      </c>
      <c r="L122" s="4" t="s">
        <v>24</v>
      </c>
      <c r="M122" s="19"/>
      <c r="N122" s="3" t="str">
        <f>HYPERLINK("https://www.stromypodkontrolou.cz/map/tree/eb9fcfc1-f6fa-405f-85c7-690b2fb79ecd/da7cc02b-fc6d-48b2-9f68-09a20d8dddde")</f>
        <v>https://www.stromypodkontrolou.cz/map/tree/eb9fcfc1-f6fa-405f-85c7-690b2fb79ecd/da7cc02b-fc6d-48b2-9f68-09a20d8dddde</v>
      </c>
      <c r="O122" s="3" t="str">
        <f>HYPERLINK("https://www.mapy.cz?st=search&amp;fr=49.66892487 18.68234359")</f>
        <v>https://www.mapy.cz?st=search&amp;fr=49.66892487 18.68234359</v>
      </c>
    </row>
    <row r="123" spans="1:15" ht="120">
      <c r="A123" s="10">
        <v>96</v>
      </c>
      <c r="B123" s="3" t="s">
        <v>13</v>
      </c>
      <c r="C123" s="3" t="s">
        <v>260</v>
      </c>
      <c r="D123" s="4">
        <v>453</v>
      </c>
      <c r="E123" s="5" t="s">
        <v>29</v>
      </c>
      <c r="F123" s="3" t="s">
        <v>30</v>
      </c>
      <c r="G123" s="4" t="s">
        <v>87</v>
      </c>
      <c r="H123" s="4" t="s">
        <v>117</v>
      </c>
      <c r="I123" s="4" t="s">
        <v>20</v>
      </c>
      <c r="J123" s="3"/>
      <c r="K123" s="3" t="s">
        <v>23</v>
      </c>
      <c r="L123" s="4" t="s">
        <v>118</v>
      </c>
      <c r="M123" s="19"/>
      <c r="N123" s="3" t="str">
        <f>HYPERLINK("https://www.stromypodkontrolou.cz/map/tree/eb9fcfc1-f6fa-405f-85c7-690b2fb79ecd/8281e43a-298a-403f-8be2-6c97d477dc42")</f>
        <v>https://www.stromypodkontrolou.cz/map/tree/eb9fcfc1-f6fa-405f-85c7-690b2fb79ecd/8281e43a-298a-403f-8be2-6c97d477dc42</v>
      </c>
      <c r="O123" s="3" t="str">
        <f>HYPERLINK("https://www.mapy.cz?st=search&amp;fr=49.66907633 18.68229028")</f>
        <v>https://www.mapy.cz?st=search&amp;fr=49.66907633 18.68229028</v>
      </c>
    </row>
    <row r="124" spans="1:15" ht="120">
      <c r="A124" s="10">
        <v>97</v>
      </c>
      <c r="B124" s="3" t="s">
        <v>13</v>
      </c>
      <c r="C124" s="3" t="s">
        <v>260</v>
      </c>
      <c r="D124" s="4">
        <v>454</v>
      </c>
      <c r="E124" s="5" t="s">
        <v>29</v>
      </c>
      <c r="F124" s="3" t="s">
        <v>30</v>
      </c>
      <c r="G124" s="4" t="s">
        <v>34</v>
      </c>
      <c r="H124" s="4" t="s">
        <v>117</v>
      </c>
      <c r="I124" s="4" t="s">
        <v>21</v>
      </c>
      <c r="J124" s="3"/>
      <c r="K124" s="3" t="s">
        <v>23</v>
      </c>
      <c r="L124" s="4" t="s">
        <v>118</v>
      </c>
      <c r="M124" s="19"/>
      <c r="N124" s="3" t="str">
        <f>HYPERLINK("https://www.stromypodkontrolou.cz/map/tree/eb9fcfc1-f6fa-405f-85c7-690b2fb79ecd/4d400fe9-320f-4664-897c-776f6be5f09d")</f>
        <v>https://www.stromypodkontrolou.cz/map/tree/eb9fcfc1-f6fa-405f-85c7-690b2fb79ecd/4d400fe9-320f-4664-897c-776f6be5f09d</v>
      </c>
      <c r="O124" s="3" t="str">
        <f>HYPERLINK("https://www.mapy.cz?st=search&amp;fr=49.66912450 18.68224368")</f>
        <v>https://www.mapy.cz?st=search&amp;fr=49.66912450 18.68224368</v>
      </c>
    </row>
    <row r="125" spans="1:15" ht="120">
      <c r="A125" s="10">
        <v>98</v>
      </c>
      <c r="B125" s="3" t="s">
        <v>13</v>
      </c>
      <c r="C125" s="3" t="s">
        <v>260</v>
      </c>
      <c r="D125" s="4">
        <v>455</v>
      </c>
      <c r="E125" s="5" t="s">
        <v>29</v>
      </c>
      <c r="F125" s="3" t="s">
        <v>30</v>
      </c>
      <c r="G125" s="4" t="s">
        <v>25</v>
      </c>
      <c r="H125" s="4" t="s">
        <v>18</v>
      </c>
      <c r="I125" s="4" t="s">
        <v>21</v>
      </c>
      <c r="J125" s="3"/>
      <c r="K125" s="3" t="s">
        <v>23</v>
      </c>
      <c r="L125" s="4" t="s">
        <v>24</v>
      </c>
      <c r="M125" s="19"/>
      <c r="N125" s="3" t="str">
        <f>HYPERLINK("https://www.stromypodkontrolou.cz/map/tree/eb9fcfc1-f6fa-405f-85c7-690b2fb79ecd/74b28c2d-3970-4515-ab6c-be12c30c06a2")</f>
        <v>https://www.stromypodkontrolou.cz/map/tree/eb9fcfc1-f6fa-405f-85c7-690b2fb79ecd/74b28c2d-3970-4515-ab6c-be12c30c06a2</v>
      </c>
      <c r="O125" s="3" t="str">
        <f>HYPERLINK("https://www.mapy.cz?st=search&amp;fr=49.66942330 18.68176725")</f>
        <v>https://www.mapy.cz?st=search&amp;fr=49.66942330 18.68176725</v>
      </c>
    </row>
    <row r="126" spans="1:15" ht="120">
      <c r="A126" s="10">
        <v>99</v>
      </c>
      <c r="B126" s="3" t="s">
        <v>13</v>
      </c>
      <c r="C126" s="3" t="s">
        <v>260</v>
      </c>
      <c r="D126" s="4">
        <v>456</v>
      </c>
      <c r="E126" s="5" t="s">
        <v>29</v>
      </c>
      <c r="F126" s="3" t="s">
        <v>30</v>
      </c>
      <c r="G126" s="4" t="s">
        <v>17</v>
      </c>
      <c r="H126" s="4" t="s">
        <v>117</v>
      </c>
      <c r="I126" s="4" t="s">
        <v>21</v>
      </c>
      <c r="J126" s="3"/>
      <c r="K126" s="3" t="s">
        <v>23</v>
      </c>
      <c r="L126" s="4" t="s">
        <v>118</v>
      </c>
      <c r="M126" s="19"/>
      <c r="N126" s="3" t="str">
        <f>HYPERLINK("https://www.stromypodkontrolou.cz/map/tree/eb9fcfc1-f6fa-405f-85c7-690b2fb79ecd/6b7db661-a1fc-4f12-bda9-7eacd9537de8")</f>
        <v>https://www.stromypodkontrolou.cz/map/tree/eb9fcfc1-f6fa-405f-85c7-690b2fb79ecd/6b7db661-a1fc-4f12-bda9-7eacd9537de8</v>
      </c>
      <c r="O126" s="3" t="str">
        <f>HYPERLINK("https://www.mapy.cz?st=search&amp;fr=49.66901404 18.68223495")</f>
        <v>https://www.mapy.cz?st=search&amp;fr=49.66901404 18.68223495</v>
      </c>
    </row>
    <row r="127" spans="1:15" ht="36">
      <c r="A127" s="16">
        <v>100</v>
      </c>
      <c r="B127" s="13" t="s">
        <v>13</v>
      </c>
      <c r="C127" s="13" t="s">
        <v>276</v>
      </c>
      <c r="D127" s="18">
        <v>25</v>
      </c>
      <c r="E127" s="15" t="s">
        <v>277</v>
      </c>
      <c r="F127" s="13" t="s">
        <v>278</v>
      </c>
      <c r="G127" s="18" t="s">
        <v>171</v>
      </c>
      <c r="H127" s="18" t="s">
        <v>43</v>
      </c>
      <c r="I127" s="18" t="s">
        <v>87</v>
      </c>
      <c r="J127" s="13" t="s">
        <v>279</v>
      </c>
      <c r="K127" s="3" t="s">
        <v>89</v>
      </c>
      <c r="L127" s="4" t="s">
        <v>280</v>
      </c>
      <c r="M127" s="19"/>
      <c r="N127" s="13" t="str">
        <f>HYPERLINK("https://www.stromypodkontrolou.cz/map/tree/eb9fcfc1-f6fa-405f-85c7-690b2fb79ecd/3c10a0c0-7a37-4bd6-9be2-981a1ba4b12b")</f>
        <v>https://www.stromypodkontrolou.cz/map/tree/eb9fcfc1-f6fa-405f-85c7-690b2fb79ecd/3c10a0c0-7a37-4bd6-9be2-981a1ba4b12b</v>
      </c>
      <c r="O127" s="13" t="str">
        <f>HYPERLINK("https://www.mapy.cz?st=search&amp;fr=49.67760845 18.67258259")</f>
        <v>https://www.mapy.cz?st=search&amp;fr=49.67760845 18.67258259</v>
      </c>
    </row>
    <row r="128" spans="1:15" ht="60">
      <c r="A128" s="16"/>
      <c r="B128" s="13"/>
      <c r="C128" s="13"/>
      <c r="D128" s="18"/>
      <c r="E128" s="15"/>
      <c r="F128" s="13"/>
      <c r="G128" s="18"/>
      <c r="H128" s="18"/>
      <c r="I128" s="18"/>
      <c r="J128" s="13"/>
      <c r="K128" s="3" t="s">
        <v>281</v>
      </c>
      <c r="L128" s="4"/>
      <c r="M128" s="19"/>
      <c r="N128" s="13"/>
      <c r="O128" s="13"/>
    </row>
    <row r="129" spans="1:15" ht="24">
      <c r="A129" s="16"/>
      <c r="B129" s="13"/>
      <c r="C129" s="13"/>
      <c r="D129" s="18"/>
      <c r="E129" s="15"/>
      <c r="F129" s="13"/>
      <c r="G129" s="18"/>
      <c r="H129" s="18"/>
      <c r="I129" s="18"/>
      <c r="J129" s="13"/>
      <c r="K129" s="3" t="s">
        <v>38</v>
      </c>
      <c r="L129" s="4" t="s">
        <v>282</v>
      </c>
      <c r="M129" s="19"/>
      <c r="N129" s="13"/>
      <c r="O129" s="13"/>
    </row>
    <row r="130" spans="1:15" ht="120">
      <c r="A130" s="10">
        <v>101</v>
      </c>
      <c r="B130" s="3" t="s">
        <v>13</v>
      </c>
      <c r="C130" s="3" t="s">
        <v>276</v>
      </c>
      <c r="D130" s="4">
        <v>33</v>
      </c>
      <c r="E130" s="5" t="s">
        <v>283</v>
      </c>
      <c r="F130" s="3" t="s">
        <v>284</v>
      </c>
      <c r="G130" s="4" t="s">
        <v>27</v>
      </c>
      <c r="H130" s="4" t="s">
        <v>117</v>
      </c>
      <c r="I130" s="4" t="s">
        <v>22</v>
      </c>
      <c r="J130" s="3"/>
      <c r="K130" s="3" t="s">
        <v>23</v>
      </c>
      <c r="L130" s="4" t="s">
        <v>285</v>
      </c>
      <c r="M130" s="19"/>
      <c r="N130" s="3" t="str">
        <f>HYPERLINK("https://www.stromypodkontrolou.cz/map/tree/eb9fcfc1-f6fa-405f-85c7-690b2fb79ecd/4fbd5a62-8e88-410f-b104-48398993707c")</f>
        <v>https://www.stromypodkontrolou.cz/map/tree/eb9fcfc1-f6fa-405f-85c7-690b2fb79ecd/4fbd5a62-8e88-410f-b104-48398993707c</v>
      </c>
      <c r="O130" s="3" t="str">
        <f>HYPERLINK("https://www.mapy.cz?st=search&amp;fr=49.67739674 18.67331555")</f>
        <v>https://www.mapy.cz?st=search&amp;fr=49.67739674 18.67331555</v>
      </c>
    </row>
    <row r="131" spans="1:15" ht="120">
      <c r="A131" s="10">
        <v>102</v>
      </c>
      <c r="B131" s="3" t="s">
        <v>13</v>
      </c>
      <c r="C131" s="3" t="s">
        <v>276</v>
      </c>
      <c r="D131" s="4">
        <v>34</v>
      </c>
      <c r="E131" s="5" t="s">
        <v>283</v>
      </c>
      <c r="F131" s="3" t="s">
        <v>284</v>
      </c>
      <c r="G131" s="4" t="s">
        <v>27</v>
      </c>
      <c r="H131" s="4" t="s">
        <v>117</v>
      </c>
      <c r="I131" s="4" t="s">
        <v>22</v>
      </c>
      <c r="J131" s="3"/>
      <c r="K131" s="3" t="s">
        <v>23</v>
      </c>
      <c r="L131" s="4" t="s">
        <v>285</v>
      </c>
      <c r="M131" s="19"/>
      <c r="N131" s="3" t="str">
        <f>HYPERLINK("https://www.stromypodkontrolou.cz/map/tree/eb9fcfc1-f6fa-405f-85c7-690b2fb79ecd/92f33337-b519-401b-8307-a9f6b233060e")</f>
        <v>https://www.stromypodkontrolou.cz/map/tree/eb9fcfc1-f6fa-405f-85c7-690b2fb79ecd/92f33337-b519-401b-8307-a9f6b233060e</v>
      </c>
      <c r="O131" s="3" t="str">
        <f>HYPERLINK("https://www.mapy.cz?st=search&amp;fr=49.67736095 18.67335713")</f>
        <v>https://www.mapy.cz?st=search&amp;fr=49.67736095 18.67335713</v>
      </c>
    </row>
    <row r="132" spans="1:15" ht="120">
      <c r="A132" s="10">
        <v>103</v>
      </c>
      <c r="B132" s="3" t="s">
        <v>13</v>
      </c>
      <c r="C132" s="3" t="s">
        <v>276</v>
      </c>
      <c r="D132" s="4">
        <v>35</v>
      </c>
      <c r="E132" s="5" t="s">
        <v>283</v>
      </c>
      <c r="F132" s="3" t="s">
        <v>284</v>
      </c>
      <c r="G132" s="4" t="s">
        <v>17</v>
      </c>
      <c r="H132" s="4" t="s">
        <v>117</v>
      </c>
      <c r="I132" s="4" t="s">
        <v>22</v>
      </c>
      <c r="J132" s="3"/>
      <c r="K132" s="3" t="s">
        <v>23</v>
      </c>
      <c r="L132" s="4" t="s">
        <v>285</v>
      </c>
      <c r="M132" s="19"/>
      <c r="N132" s="3" t="str">
        <f>HYPERLINK("https://www.stromypodkontrolou.cz/map/tree/eb9fcfc1-f6fa-405f-85c7-690b2fb79ecd/6fe86aba-d178-4ddf-9283-d0fbbf50a49e")</f>
        <v>https://www.stromypodkontrolou.cz/map/tree/eb9fcfc1-f6fa-405f-85c7-690b2fb79ecd/6fe86aba-d178-4ddf-9283-d0fbbf50a49e</v>
      </c>
      <c r="O132" s="3" t="str">
        <f>HYPERLINK("https://www.mapy.cz?st=search&amp;fr=49.67716877 18.67352851")</f>
        <v>https://www.mapy.cz?st=search&amp;fr=49.67716877 18.67352851</v>
      </c>
    </row>
    <row r="133" spans="1:15" ht="120">
      <c r="A133" s="10">
        <v>104</v>
      </c>
      <c r="B133" s="3" t="s">
        <v>13</v>
      </c>
      <c r="C133" s="3" t="s">
        <v>286</v>
      </c>
      <c r="D133" s="4">
        <v>3</v>
      </c>
      <c r="E133" s="5" t="s">
        <v>287</v>
      </c>
      <c r="F133" s="3" t="s">
        <v>288</v>
      </c>
      <c r="G133" s="4" t="s">
        <v>141</v>
      </c>
      <c r="H133" s="4" t="s">
        <v>69</v>
      </c>
      <c r="I133" s="4" t="s">
        <v>25</v>
      </c>
      <c r="J133" s="3" t="s">
        <v>59</v>
      </c>
      <c r="K133" s="3" t="s">
        <v>38</v>
      </c>
      <c r="L133" s="4" t="s">
        <v>142</v>
      </c>
      <c r="M133" s="19"/>
      <c r="N133" s="3" t="str">
        <f>HYPERLINK("https://www.stromypodkontrolou.cz/map/tree/eb9fcfc1-f6fa-405f-85c7-690b2fb79ecd/9a9000e9-b905-455f-b3ea-70190d8543b1")</f>
        <v>https://www.stromypodkontrolou.cz/map/tree/eb9fcfc1-f6fa-405f-85c7-690b2fb79ecd/9a9000e9-b905-455f-b3ea-70190d8543b1</v>
      </c>
      <c r="O133" s="3" t="str">
        <f>HYPERLINK("https://www.mapy.cz?st=search&amp;fr=49.67748809 18.67116510")</f>
        <v>https://www.mapy.cz?st=search&amp;fr=49.67748809 18.67116510</v>
      </c>
    </row>
    <row r="134" spans="1:15" s="9" customFormat="1" ht="58.5" customHeight="1">
      <c r="A134" s="10">
        <v>105</v>
      </c>
      <c r="B134" s="3" t="s">
        <v>13</v>
      </c>
      <c r="C134" s="3" t="s">
        <v>289</v>
      </c>
      <c r="D134" s="4">
        <v>16</v>
      </c>
      <c r="E134" s="5" t="s">
        <v>175</v>
      </c>
      <c r="F134" s="3" t="s">
        <v>176</v>
      </c>
      <c r="G134" s="4" t="s">
        <v>78</v>
      </c>
      <c r="H134" s="4" t="s">
        <v>182</v>
      </c>
      <c r="I134" s="4" t="s">
        <v>99</v>
      </c>
      <c r="J134" s="3" t="s">
        <v>290</v>
      </c>
      <c r="K134" s="3" t="s">
        <v>129</v>
      </c>
      <c r="L134" s="4" t="s">
        <v>202</v>
      </c>
      <c r="M134" s="19"/>
      <c r="N134" s="3" t="str">
        <f>HYPERLINK("https://www.stromypodkontrolou.cz/map/tree/eb9fcfc1-f6fa-405f-85c7-690b2fb79ecd/c55a4ddc-f416-49c9-8e57-b3678ec31420")</f>
        <v>https://www.stromypodkontrolou.cz/map/tree/eb9fcfc1-f6fa-405f-85c7-690b2fb79ecd/c55a4ddc-f416-49c9-8e57-b3678ec31420</v>
      </c>
      <c r="O134" s="3" t="str">
        <f>HYPERLINK("https://www.mapy.cz?st=search&amp;fr=49.66582049 18.68284355")</f>
        <v>https://www.mapy.cz?st=search&amp;fr=49.66582049 18.68284355</v>
      </c>
    </row>
    <row r="135" spans="1:15" ht="120">
      <c r="A135" s="10">
        <v>106</v>
      </c>
      <c r="B135" s="3" t="s">
        <v>13</v>
      </c>
      <c r="C135" s="3" t="s">
        <v>291</v>
      </c>
      <c r="D135" s="4">
        <v>43</v>
      </c>
      <c r="E135" s="5" t="s">
        <v>29</v>
      </c>
      <c r="F135" s="3" t="s">
        <v>30</v>
      </c>
      <c r="G135" s="4" t="s">
        <v>96</v>
      </c>
      <c r="H135" s="4" t="s">
        <v>178</v>
      </c>
      <c r="I135" s="4" t="s">
        <v>65</v>
      </c>
      <c r="J135" s="3" t="s">
        <v>59</v>
      </c>
      <c r="K135" s="3" t="s">
        <v>36</v>
      </c>
      <c r="L135" s="4" t="s">
        <v>202</v>
      </c>
      <c r="M135" s="19"/>
      <c r="N135" s="3" t="str">
        <f>HYPERLINK("https://www.stromypodkontrolou.cz/map/tree/eb9fcfc1-f6fa-405f-85c7-690b2fb79ecd/e1ed8c01-7382-47e6-938f-dfc3aa1b8e82")</f>
        <v>https://www.stromypodkontrolou.cz/map/tree/eb9fcfc1-f6fa-405f-85c7-690b2fb79ecd/e1ed8c01-7382-47e6-938f-dfc3aa1b8e82</v>
      </c>
      <c r="O135" s="3" t="str">
        <f>HYPERLINK("https://www.mapy.cz?st=search&amp;fr=49.66516098 18.68508570")</f>
        <v>https://www.mapy.cz?st=search&amp;fr=49.66516098 18.68508570</v>
      </c>
    </row>
    <row r="136" spans="1:15" ht="120">
      <c r="A136" s="10">
        <v>107</v>
      </c>
      <c r="B136" s="3" t="s">
        <v>13</v>
      </c>
      <c r="C136" s="3" t="s">
        <v>291</v>
      </c>
      <c r="D136" s="4">
        <v>50</v>
      </c>
      <c r="E136" s="5" t="s">
        <v>155</v>
      </c>
      <c r="F136" s="3" t="s">
        <v>156</v>
      </c>
      <c r="G136" s="4" t="s">
        <v>292</v>
      </c>
      <c r="H136" s="4" t="s">
        <v>97</v>
      </c>
      <c r="I136" s="4" t="s">
        <v>65</v>
      </c>
      <c r="J136" s="3" t="s">
        <v>293</v>
      </c>
      <c r="K136" s="3" t="s">
        <v>36</v>
      </c>
      <c r="L136" s="4" t="s">
        <v>202</v>
      </c>
      <c r="M136" s="19"/>
      <c r="N136" s="3" t="str">
        <f>HYPERLINK("https://www.stromypodkontrolou.cz/map/tree/eb9fcfc1-f6fa-405f-85c7-690b2fb79ecd/68a4966e-7bff-4e55-bb98-01eeebdedeef")</f>
        <v>https://www.stromypodkontrolou.cz/map/tree/eb9fcfc1-f6fa-405f-85c7-690b2fb79ecd/68a4966e-7bff-4e55-bb98-01eeebdedeef</v>
      </c>
      <c r="O136" s="3" t="str">
        <f>HYPERLINK("https://www.mapy.cz?st=search&amp;fr=49.66558615 18.68463206")</f>
        <v>https://www.mapy.cz?st=search&amp;fr=49.66558615 18.68463206</v>
      </c>
    </row>
    <row r="137" spans="1:15" ht="120">
      <c r="A137" s="10">
        <v>108</v>
      </c>
      <c r="B137" s="3" t="s">
        <v>13</v>
      </c>
      <c r="C137" s="3" t="s">
        <v>291</v>
      </c>
      <c r="D137" s="4">
        <v>82</v>
      </c>
      <c r="E137" s="5" t="s">
        <v>29</v>
      </c>
      <c r="F137" s="3" t="s">
        <v>30</v>
      </c>
      <c r="G137" s="4" t="s">
        <v>294</v>
      </c>
      <c r="H137" s="4" t="s">
        <v>97</v>
      </c>
      <c r="I137" s="4" t="s">
        <v>65</v>
      </c>
      <c r="J137" s="3" t="s">
        <v>70</v>
      </c>
      <c r="K137" s="3" t="s">
        <v>38</v>
      </c>
      <c r="L137" s="4" t="s">
        <v>184</v>
      </c>
      <c r="M137" s="19"/>
      <c r="N137" s="3" t="str">
        <f>HYPERLINK("https://www.stromypodkontrolou.cz/map/tree/eb9fcfc1-f6fa-405f-85c7-690b2fb79ecd/8770743d-c554-4b69-9f58-340fcc4be724")</f>
        <v>https://www.stromypodkontrolou.cz/map/tree/eb9fcfc1-f6fa-405f-85c7-690b2fb79ecd/8770743d-c554-4b69-9f58-340fcc4be724</v>
      </c>
      <c r="O137" s="3" t="str">
        <f>HYPERLINK("https://www.mapy.cz?st=search&amp;fr=49.66498875 18.68524138")</f>
        <v>https://www.mapy.cz?st=search&amp;fr=49.66498875 18.68524138</v>
      </c>
    </row>
    <row r="138" spans="1:15" ht="12.75" customHeight="1">
      <c r="A138" s="16">
        <v>109</v>
      </c>
      <c r="B138" s="13" t="s">
        <v>13</v>
      </c>
      <c r="C138" s="13" t="s">
        <v>295</v>
      </c>
      <c r="D138" s="18">
        <v>16</v>
      </c>
      <c r="E138" s="15" t="s">
        <v>296</v>
      </c>
      <c r="F138" s="13" t="s">
        <v>297</v>
      </c>
      <c r="G138" s="18" t="s">
        <v>206</v>
      </c>
      <c r="H138" s="18" t="s">
        <v>18</v>
      </c>
      <c r="I138" s="18" t="s">
        <v>50</v>
      </c>
      <c r="J138" s="13"/>
      <c r="K138" s="3" t="s">
        <v>112</v>
      </c>
      <c r="L138" s="4" t="s">
        <v>113</v>
      </c>
      <c r="M138" s="19"/>
      <c r="N138" s="13" t="str">
        <f>HYPERLINK("https://www.stromypodkontrolou.cz/map/tree/eb9fcfc1-f6fa-405f-85c7-690b2fb79ecd/8aeca422-c93c-416a-a9d0-8e42b615f127")</f>
        <v>https://www.stromypodkontrolou.cz/map/tree/eb9fcfc1-f6fa-405f-85c7-690b2fb79ecd/8aeca422-c93c-416a-a9d0-8e42b615f127</v>
      </c>
      <c r="O138" s="13" t="str">
        <f>HYPERLINK("https://www.mapy.cz?st=search&amp;fr=49.67343117 18.67940180")</f>
        <v>https://www.mapy.cz?st=search&amp;fr=49.67343117 18.67940180</v>
      </c>
    </row>
    <row r="139" spans="1:15" ht="12.75">
      <c r="A139" s="16"/>
      <c r="B139" s="13"/>
      <c r="C139" s="13"/>
      <c r="D139" s="18"/>
      <c r="E139" s="15"/>
      <c r="F139" s="13"/>
      <c r="G139" s="18"/>
      <c r="H139" s="18"/>
      <c r="I139" s="18"/>
      <c r="J139" s="13"/>
      <c r="K139" s="3" t="s">
        <v>38</v>
      </c>
      <c r="L139" s="4" t="s">
        <v>114</v>
      </c>
      <c r="M139" s="19"/>
      <c r="N139" s="13"/>
      <c r="O139" s="13"/>
    </row>
    <row r="140" spans="1:15" ht="120">
      <c r="A140" s="10">
        <v>110</v>
      </c>
      <c r="B140" s="3" t="s">
        <v>13</v>
      </c>
      <c r="C140" s="3" t="s">
        <v>295</v>
      </c>
      <c r="D140" s="4">
        <v>23</v>
      </c>
      <c r="E140" s="5" t="s">
        <v>298</v>
      </c>
      <c r="F140" s="3" t="s">
        <v>299</v>
      </c>
      <c r="G140" s="4" t="s">
        <v>65</v>
      </c>
      <c r="H140" s="4" t="s">
        <v>18</v>
      </c>
      <c r="I140" s="4" t="s">
        <v>20</v>
      </c>
      <c r="J140" s="3"/>
      <c r="K140" s="3" t="s">
        <v>112</v>
      </c>
      <c r="L140" s="4" t="s">
        <v>113</v>
      </c>
      <c r="M140" s="19"/>
      <c r="N140" s="3" t="str">
        <f>HYPERLINK("https://www.stromypodkontrolou.cz/map/tree/eb9fcfc1-f6fa-405f-85c7-690b2fb79ecd/fcb8b6f5-e007-4c0e-a54a-db7d821dc7ee")</f>
        <v>https://www.stromypodkontrolou.cz/map/tree/eb9fcfc1-f6fa-405f-85c7-690b2fb79ecd/fcb8b6f5-e007-4c0e-a54a-db7d821dc7ee</v>
      </c>
      <c r="O140" s="3" t="str">
        <f>HYPERLINK("https://www.mapy.cz?st=search&amp;fr=49.67408953 18.67870130")</f>
        <v>https://www.mapy.cz?st=search&amp;fr=49.67408953 18.67870130</v>
      </c>
    </row>
    <row r="141" spans="1:15" ht="120">
      <c r="A141" s="10">
        <v>111</v>
      </c>
      <c r="B141" s="3" t="s">
        <v>13</v>
      </c>
      <c r="C141" s="3" t="s">
        <v>295</v>
      </c>
      <c r="D141" s="4">
        <v>25</v>
      </c>
      <c r="E141" s="5" t="s">
        <v>298</v>
      </c>
      <c r="F141" s="3" t="s">
        <v>299</v>
      </c>
      <c r="G141" s="4" t="s">
        <v>65</v>
      </c>
      <c r="H141" s="4" t="s">
        <v>18</v>
      </c>
      <c r="I141" s="4" t="s">
        <v>20</v>
      </c>
      <c r="J141" s="3"/>
      <c r="K141" s="3" t="s">
        <v>112</v>
      </c>
      <c r="L141" s="4" t="s">
        <v>113</v>
      </c>
      <c r="M141" s="19"/>
      <c r="N141" s="3" t="str">
        <f>HYPERLINK("https://www.stromypodkontrolou.cz/map/tree/eb9fcfc1-f6fa-405f-85c7-690b2fb79ecd/d7c119d9-96a9-44eb-b465-0b82ee87b923")</f>
        <v>https://www.stromypodkontrolou.cz/map/tree/eb9fcfc1-f6fa-405f-85c7-690b2fb79ecd/d7c119d9-96a9-44eb-b465-0b82ee87b923</v>
      </c>
      <c r="O141" s="3" t="str">
        <f>HYPERLINK("https://www.mapy.cz?st=search&amp;fr=49.67445114 18.67832420")</f>
        <v>https://www.mapy.cz?st=search&amp;fr=49.67445114 18.67832420</v>
      </c>
    </row>
    <row r="142" spans="1:15" ht="120">
      <c r="A142" s="10">
        <v>112</v>
      </c>
      <c r="B142" s="3" t="s">
        <v>13</v>
      </c>
      <c r="C142" s="3" t="s">
        <v>300</v>
      </c>
      <c r="D142" s="4">
        <v>56</v>
      </c>
      <c r="E142" s="5" t="s">
        <v>301</v>
      </c>
      <c r="F142" s="3" t="s">
        <v>302</v>
      </c>
      <c r="G142" s="4" t="s">
        <v>99</v>
      </c>
      <c r="H142" s="4" t="s">
        <v>111</v>
      </c>
      <c r="I142" s="4" t="s">
        <v>27</v>
      </c>
      <c r="J142" s="3" t="s">
        <v>303</v>
      </c>
      <c r="K142" s="3" t="s">
        <v>36</v>
      </c>
      <c r="L142" s="4" t="s">
        <v>304</v>
      </c>
      <c r="M142" s="19"/>
      <c r="N142" s="3" t="str">
        <f>HYPERLINK("https://www.stromypodkontrolou.cz/map/tree/eb9fcfc1-f6fa-405f-85c7-690b2fb79ecd/0647e5f5-51d5-4397-8706-2a91a187badc")</f>
        <v>https://www.stromypodkontrolou.cz/map/tree/eb9fcfc1-f6fa-405f-85c7-690b2fb79ecd/0647e5f5-51d5-4397-8706-2a91a187badc</v>
      </c>
      <c r="O142" s="3" t="str">
        <f>HYPERLINK("https://www.mapy.cz?st=search&amp;fr=49.66728510 18.67502538")</f>
        <v>https://www.mapy.cz?st=search&amp;fr=49.66728510 18.67502538</v>
      </c>
    </row>
    <row r="143" spans="1:15" ht="120">
      <c r="A143" s="10">
        <v>113</v>
      </c>
      <c r="B143" s="3" t="s">
        <v>13</v>
      </c>
      <c r="C143" s="3" t="s">
        <v>305</v>
      </c>
      <c r="D143" s="4">
        <v>89</v>
      </c>
      <c r="E143" s="5" t="s">
        <v>109</v>
      </c>
      <c r="F143" s="3" t="s">
        <v>110</v>
      </c>
      <c r="G143" s="4" t="s">
        <v>34</v>
      </c>
      <c r="H143" s="4" t="s">
        <v>117</v>
      </c>
      <c r="I143" s="4" t="s">
        <v>20</v>
      </c>
      <c r="J143" s="3" t="s">
        <v>306</v>
      </c>
      <c r="K143" s="3" t="s">
        <v>23</v>
      </c>
      <c r="L143" s="4" t="s">
        <v>118</v>
      </c>
      <c r="M143" s="19"/>
      <c r="N143" s="3" t="str">
        <f>HYPERLINK("https://www.stromypodkontrolou.cz/map/tree/eb9fcfc1-f6fa-405f-85c7-690b2fb79ecd/7b75a612-1a78-46c4-ace3-110074bd8fb8")</f>
        <v>https://www.stromypodkontrolou.cz/map/tree/eb9fcfc1-f6fa-405f-85c7-690b2fb79ecd/7b75a612-1a78-46c4-ace3-110074bd8fb8</v>
      </c>
      <c r="O143" s="3" t="str">
        <f>HYPERLINK("https://www.mapy.cz?st=search&amp;fr=49.66893854 18.67691278")</f>
        <v>https://www.mapy.cz?st=search&amp;fr=49.66893854 18.67691278</v>
      </c>
    </row>
    <row r="144" spans="1:15" ht="120">
      <c r="A144" s="10">
        <v>114</v>
      </c>
      <c r="B144" s="3" t="s">
        <v>13</v>
      </c>
      <c r="C144" s="3" t="s">
        <v>307</v>
      </c>
      <c r="D144" s="4">
        <v>36</v>
      </c>
      <c r="E144" s="5" t="s">
        <v>76</v>
      </c>
      <c r="F144" s="3" t="s">
        <v>77</v>
      </c>
      <c r="G144" s="4" t="s">
        <v>87</v>
      </c>
      <c r="H144" s="4" t="s">
        <v>213</v>
      </c>
      <c r="I144" s="4" t="s">
        <v>20</v>
      </c>
      <c r="J144" s="3"/>
      <c r="K144" s="3" t="s">
        <v>23</v>
      </c>
      <c r="L144" s="4" t="s">
        <v>118</v>
      </c>
      <c r="M144" s="19"/>
      <c r="N144" s="3" t="str">
        <f>HYPERLINK("https://www.stromypodkontrolou.cz/map/tree/eb9fcfc1-f6fa-405f-85c7-690b2fb79ecd/8aca2b8b-b0ed-48ef-9d75-6b98fa183095")</f>
        <v>https://www.stromypodkontrolou.cz/map/tree/eb9fcfc1-f6fa-405f-85c7-690b2fb79ecd/8aca2b8b-b0ed-48ef-9d75-6b98fa183095</v>
      </c>
      <c r="O144" s="3" t="str">
        <f>HYPERLINK("https://www.mapy.cz?st=search&amp;fr=49.67000199 18.67738762")</f>
        <v>https://www.mapy.cz?st=search&amp;fr=49.67000199 18.67738762</v>
      </c>
    </row>
    <row r="145" spans="1:15" ht="36">
      <c r="A145" s="16">
        <v>115</v>
      </c>
      <c r="B145" s="13" t="s">
        <v>13</v>
      </c>
      <c r="C145" s="13" t="s">
        <v>310</v>
      </c>
      <c r="D145" s="18">
        <v>11</v>
      </c>
      <c r="E145" s="15" t="s">
        <v>40</v>
      </c>
      <c r="F145" s="13" t="s">
        <v>41</v>
      </c>
      <c r="G145" s="18" t="s">
        <v>74</v>
      </c>
      <c r="H145" s="18" t="s">
        <v>182</v>
      </c>
      <c r="I145" s="18" t="s">
        <v>99</v>
      </c>
      <c r="J145" s="13" t="s">
        <v>311</v>
      </c>
      <c r="K145" s="3" t="s">
        <v>71</v>
      </c>
      <c r="L145" s="4" t="s">
        <v>312</v>
      </c>
      <c r="M145" s="19"/>
      <c r="N145" s="13" t="str">
        <f>HYPERLINK("https://www.stromypodkontrolou.cz/map/tree/eb9fcfc1-f6fa-405f-85c7-690b2fb79ecd/86b6b8f2-1773-4644-8b01-67a5fdc9db44")</f>
        <v>https://www.stromypodkontrolou.cz/map/tree/eb9fcfc1-f6fa-405f-85c7-690b2fb79ecd/86b6b8f2-1773-4644-8b01-67a5fdc9db44</v>
      </c>
      <c r="O145" s="13" t="str">
        <f>HYPERLINK("https://www.mapy.cz?st=search&amp;fr=49.66957590 18.67244287")</f>
        <v>https://www.mapy.cz?st=search&amp;fr=49.66957590 18.67244287</v>
      </c>
    </row>
    <row r="146" spans="1:15" ht="36">
      <c r="A146" s="16"/>
      <c r="B146" s="13"/>
      <c r="C146" s="13"/>
      <c r="D146" s="18"/>
      <c r="E146" s="15"/>
      <c r="F146" s="13"/>
      <c r="G146" s="18"/>
      <c r="H146" s="18"/>
      <c r="I146" s="18"/>
      <c r="J146" s="13"/>
      <c r="K146" s="3" t="s">
        <v>36</v>
      </c>
      <c r="L146" s="4" t="s">
        <v>202</v>
      </c>
      <c r="M146" s="19"/>
      <c r="N146" s="13"/>
      <c r="O146" s="13"/>
    </row>
    <row r="147" spans="1:15" ht="12.75">
      <c r="A147" s="16"/>
      <c r="B147" s="13"/>
      <c r="C147" s="13"/>
      <c r="D147" s="18"/>
      <c r="E147" s="15"/>
      <c r="F147" s="13"/>
      <c r="G147" s="18"/>
      <c r="H147" s="18"/>
      <c r="I147" s="18"/>
      <c r="J147" s="13"/>
      <c r="K147" s="3" t="s">
        <v>38</v>
      </c>
      <c r="L147" s="4" t="s">
        <v>67</v>
      </c>
      <c r="M147" s="19"/>
      <c r="N147" s="13"/>
      <c r="O147" s="13"/>
    </row>
    <row r="148" spans="1:15" ht="36">
      <c r="A148" s="16">
        <v>116</v>
      </c>
      <c r="B148" s="13" t="s">
        <v>13</v>
      </c>
      <c r="C148" s="13" t="s">
        <v>310</v>
      </c>
      <c r="D148" s="18">
        <v>19</v>
      </c>
      <c r="E148" s="15" t="s">
        <v>40</v>
      </c>
      <c r="F148" s="13" t="s">
        <v>41</v>
      </c>
      <c r="G148" s="18" t="s">
        <v>177</v>
      </c>
      <c r="H148" s="18" t="s">
        <v>43</v>
      </c>
      <c r="I148" s="18" t="s">
        <v>17</v>
      </c>
      <c r="J148" s="13" t="s">
        <v>45</v>
      </c>
      <c r="K148" s="3" t="s">
        <v>36</v>
      </c>
      <c r="L148" s="4" t="s">
        <v>37</v>
      </c>
      <c r="M148" s="19"/>
      <c r="N148" s="13" t="str">
        <f>HYPERLINK("https://www.stromypodkontrolou.cz/map/tree/eb9fcfc1-f6fa-405f-85c7-690b2fb79ecd/47532a82-18fe-4825-88b2-08b34329a7d2")</f>
        <v>https://www.stromypodkontrolou.cz/map/tree/eb9fcfc1-f6fa-405f-85c7-690b2fb79ecd/47532a82-18fe-4825-88b2-08b34329a7d2</v>
      </c>
      <c r="O148" s="13" t="str">
        <f>HYPERLINK("https://www.mapy.cz?st=search&amp;fr=49.66857113 18.67210916")</f>
        <v>https://www.mapy.cz?st=search&amp;fr=49.66857113 18.67210916</v>
      </c>
    </row>
    <row r="149" spans="1:15" ht="36">
      <c r="A149" s="16"/>
      <c r="B149" s="13"/>
      <c r="C149" s="13"/>
      <c r="D149" s="18"/>
      <c r="E149" s="15"/>
      <c r="F149" s="13"/>
      <c r="G149" s="18"/>
      <c r="H149" s="18"/>
      <c r="I149" s="18"/>
      <c r="J149" s="13"/>
      <c r="K149" s="3" t="s">
        <v>38</v>
      </c>
      <c r="L149" s="4" t="s">
        <v>39</v>
      </c>
      <c r="M149" s="19"/>
      <c r="N149" s="13"/>
      <c r="O149" s="13"/>
    </row>
    <row r="150" spans="1:15" ht="36">
      <c r="A150" s="16">
        <v>117</v>
      </c>
      <c r="B150" s="13" t="s">
        <v>13</v>
      </c>
      <c r="C150" s="13" t="s">
        <v>310</v>
      </c>
      <c r="D150" s="18">
        <v>47</v>
      </c>
      <c r="E150" s="15" t="s">
        <v>29</v>
      </c>
      <c r="F150" s="13" t="s">
        <v>30</v>
      </c>
      <c r="G150" s="18" t="s">
        <v>42</v>
      </c>
      <c r="H150" s="18" t="s">
        <v>43</v>
      </c>
      <c r="I150" s="18" t="s">
        <v>253</v>
      </c>
      <c r="J150" s="13" t="s">
        <v>59</v>
      </c>
      <c r="K150" s="3" t="s">
        <v>36</v>
      </c>
      <c r="L150" s="4" t="s">
        <v>202</v>
      </c>
      <c r="M150" s="19"/>
      <c r="N150" s="13" t="str">
        <f>HYPERLINK("https://www.stromypodkontrolou.cz/map/tree/eb9fcfc1-f6fa-405f-85c7-690b2fb79ecd/0d896c1a-07e6-49fc-8727-a0143f7f7a55")</f>
        <v>https://www.stromypodkontrolou.cz/map/tree/eb9fcfc1-f6fa-405f-85c7-690b2fb79ecd/0d896c1a-07e6-49fc-8727-a0143f7f7a55</v>
      </c>
      <c r="O150" s="13" t="str">
        <f>HYPERLINK("https://www.mapy.cz?st=search&amp;fr=49.66566764 18.67624754")</f>
        <v>https://www.mapy.cz?st=search&amp;fr=49.66566764 18.67624754</v>
      </c>
    </row>
    <row r="151" spans="1:15" ht="12.75">
      <c r="A151" s="16"/>
      <c r="B151" s="13"/>
      <c r="C151" s="13"/>
      <c r="D151" s="18"/>
      <c r="E151" s="15"/>
      <c r="F151" s="13"/>
      <c r="G151" s="18"/>
      <c r="H151" s="18"/>
      <c r="I151" s="18"/>
      <c r="J151" s="13"/>
      <c r="K151" s="3" t="s">
        <v>38</v>
      </c>
      <c r="L151" s="4" t="s">
        <v>67</v>
      </c>
      <c r="M151" s="19"/>
      <c r="N151" s="13"/>
      <c r="O151" s="13"/>
    </row>
    <row r="152" spans="1:15" ht="120">
      <c r="A152" s="10">
        <v>118</v>
      </c>
      <c r="B152" s="3" t="s">
        <v>13</v>
      </c>
      <c r="C152" s="3" t="s">
        <v>310</v>
      </c>
      <c r="D152" s="4">
        <v>53</v>
      </c>
      <c r="E152" s="5" t="s">
        <v>91</v>
      </c>
      <c r="F152" s="3" t="s">
        <v>92</v>
      </c>
      <c r="G152" s="4" t="s">
        <v>177</v>
      </c>
      <c r="H152" s="4" t="s">
        <v>178</v>
      </c>
      <c r="I152" s="4" t="s">
        <v>99</v>
      </c>
      <c r="J152" s="3"/>
      <c r="K152" s="3" t="s">
        <v>36</v>
      </c>
      <c r="L152" s="4" t="s">
        <v>60</v>
      </c>
      <c r="M152" s="19"/>
      <c r="N152" s="3" t="str">
        <f>HYPERLINK("https://www.stromypodkontrolou.cz/map/tree/eb9fcfc1-f6fa-405f-85c7-690b2fb79ecd/9bf46ec8-a9e1-4cd9-9d0f-204e1d9ea291")</f>
        <v>https://www.stromypodkontrolou.cz/map/tree/eb9fcfc1-f6fa-405f-85c7-690b2fb79ecd/9bf46ec8-a9e1-4cd9-9d0f-204e1d9ea291</v>
      </c>
      <c r="O152" s="3" t="str">
        <f>HYPERLINK("https://www.mapy.cz?st=search&amp;fr=49.66592295 18.67543943")</f>
        <v>https://www.mapy.cz?st=search&amp;fr=49.66592295 18.67543943</v>
      </c>
    </row>
    <row r="153" spans="1:15" ht="120">
      <c r="A153" s="10">
        <v>119</v>
      </c>
      <c r="B153" s="3" t="s">
        <v>13</v>
      </c>
      <c r="C153" s="3" t="s">
        <v>310</v>
      </c>
      <c r="D153" s="4">
        <v>76</v>
      </c>
      <c r="E153" s="5" t="s">
        <v>91</v>
      </c>
      <c r="F153" s="3" t="s">
        <v>92</v>
      </c>
      <c r="G153" s="4" t="s">
        <v>48</v>
      </c>
      <c r="H153" s="4" t="s">
        <v>86</v>
      </c>
      <c r="I153" s="4" t="s">
        <v>87</v>
      </c>
      <c r="J153" s="3" t="s">
        <v>313</v>
      </c>
      <c r="K153" s="3" t="s">
        <v>36</v>
      </c>
      <c r="L153" s="4" t="s">
        <v>164</v>
      </c>
      <c r="M153" s="19"/>
      <c r="N153" s="3" t="str">
        <f>HYPERLINK("https://www.stromypodkontrolou.cz/map/tree/eb9fcfc1-f6fa-405f-85c7-690b2fb79ecd/ea1026a1-b970-4954-8ee1-3355e54e9c56")</f>
        <v>https://www.stromypodkontrolou.cz/map/tree/eb9fcfc1-f6fa-405f-85c7-690b2fb79ecd/ea1026a1-b970-4954-8ee1-3355e54e9c56</v>
      </c>
      <c r="O153" s="3" t="str">
        <f>HYPERLINK("https://www.mapy.cz?st=search&amp;fr=49.66790922 18.67366596")</f>
        <v>https://www.mapy.cz?st=search&amp;fr=49.66790922 18.67366596</v>
      </c>
    </row>
    <row r="154" spans="1:15" ht="120">
      <c r="A154" s="10">
        <v>120</v>
      </c>
      <c r="B154" s="3" t="s">
        <v>13</v>
      </c>
      <c r="C154" s="3" t="s">
        <v>310</v>
      </c>
      <c r="D154" s="4">
        <v>79</v>
      </c>
      <c r="E154" s="5" t="s">
        <v>91</v>
      </c>
      <c r="F154" s="3" t="s">
        <v>92</v>
      </c>
      <c r="G154" s="4" t="s">
        <v>230</v>
      </c>
      <c r="H154" s="4" t="s">
        <v>32</v>
      </c>
      <c r="I154" s="4" t="s">
        <v>34</v>
      </c>
      <c r="J154" s="3" t="s">
        <v>314</v>
      </c>
      <c r="K154" s="3" t="s">
        <v>36</v>
      </c>
      <c r="L154" s="4" t="s">
        <v>37</v>
      </c>
      <c r="M154" s="19"/>
      <c r="N154" s="3" t="str">
        <f>HYPERLINK("https://www.stromypodkontrolou.cz/map/tree/eb9fcfc1-f6fa-405f-85c7-690b2fb79ecd/2694b79f-c97a-4566-b985-61ce575e71c2")</f>
        <v>https://www.stromypodkontrolou.cz/map/tree/eb9fcfc1-f6fa-405f-85c7-690b2fb79ecd/2694b79f-c97a-4566-b985-61ce575e71c2</v>
      </c>
      <c r="O154" s="3" t="str">
        <f>HYPERLINK("https://www.mapy.cz?st=search&amp;fr=49.66806798 18.67401275")</f>
        <v>https://www.mapy.cz?st=search&amp;fr=49.66806798 18.67401275</v>
      </c>
    </row>
    <row r="155" spans="1:15" ht="36">
      <c r="A155" s="16">
        <v>121</v>
      </c>
      <c r="B155" s="13" t="s">
        <v>13</v>
      </c>
      <c r="C155" s="13" t="s">
        <v>315</v>
      </c>
      <c r="D155" s="18">
        <v>119</v>
      </c>
      <c r="E155" s="15" t="s">
        <v>91</v>
      </c>
      <c r="F155" s="13" t="s">
        <v>92</v>
      </c>
      <c r="G155" s="18" t="s">
        <v>316</v>
      </c>
      <c r="H155" s="18" t="s">
        <v>86</v>
      </c>
      <c r="I155" s="18" t="s">
        <v>80</v>
      </c>
      <c r="J155" s="13" t="s">
        <v>88</v>
      </c>
      <c r="K155" s="3" t="s">
        <v>89</v>
      </c>
      <c r="L155" s="4" t="s">
        <v>317</v>
      </c>
      <c r="M155" s="19"/>
      <c r="N155" s="13" t="str">
        <f>HYPERLINK("https://www.stromypodkontrolou.cz/map/tree/eb9fcfc1-f6fa-405f-85c7-690b2fb79ecd/9db7896f-55e7-4fb1-8205-51bddf830063")</f>
        <v>https://www.stromypodkontrolou.cz/map/tree/eb9fcfc1-f6fa-405f-85c7-690b2fb79ecd/9db7896f-55e7-4fb1-8205-51bddf830063</v>
      </c>
      <c r="O155" s="13" t="str">
        <f>HYPERLINK("https://www.mapy.cz?st=search&amp;fr=49.66675081 18.67545233")</f>
        <v>https://www.mapy.cz?st=search&amp;fr=49.66675081 18.67545233</v>
      </c>
    </row>
    <row r="156" spans="1:15" ht="36">
      <c r="A156" s="16"/>
      <c r="B156" s="13"/>
      <c r="C156" s="13"/>
      <c r="D156" s="18"/>
      <c r="E156" s="15"/>
      <c r="F156" s="13"/>
      <c r="G156" s="18"/>
      <c r="H156" s="18"/>
      <c r="I156" s="18"/>
      <c r="J156" s="13"/>
      <c r="K156" s="3" t="s">
        <v>36</v>
      </c>
      <c r="L156" s="4" t="s">
        <v>237</v>
      </c>
      <c r="M156" s="19"/>
      <c r="N156" s="13"/>
      <c r="O156" s="13"/>
    </row>
    <row r="157" spans="1:15" ht="120">
      <c r="A157" s="10">
        <v>122</v>
      </c>
      <c r="B157" s="3" t="s">
        <v>13</v>
      </c>
      <c r="C157" s="3" t="s">
        <v>315</v>
      </c>
      <c r="D157" s="4">
        <v>281</v>
      </c>
      <c r="E157" s="5" t="s">
        <v>318</v>
      </c>
      <c r="F157" s="3" t="s">
        <v>319</v>
      </c>
      <c r="G157" s="4" t="s">
        <v>141</v>
      </c>
      <c r="H157" s="4" t="s">
        <v>213</v>
      </c>
      <c r="I157" s="4" t="s">
        <v>25</v>
      </c>
      <c r="J157" s="3" t="s">
        <v>320</v>
      </c>
      <c r="K157" s="3" t="s">
        <v>89</v>
      </c>
      <c r="L157" s="4" t="s">
        <v>321</v>
      </c>
      <c r="M157" s="19"/>
      <c r="N157" s="3" t="str">
        <f>HYPERLINK("https://www.stromypodkontrolou.cz/map/tree/eb9fcfc1-f6fa-405f-85c7-690b2fb79ecd/812d5b3d-b81a-4a32-84d6-277b1f0887bf")</f>
        <v>https://www.stromypodkontrolou.cz/map/tree/eb9fcfc1-f6fa-405f-85c7-690b2fb79ecd/812d5b3d-b81a-4a32-84d6-277b1f0887bf</v>
      </c>
      <c r="O157" s="3" t="str">
        <f>HYPERLINK("https://www.mapy.cz?st=search&amp;fr=49.66739554 18.67403127")</f>
        <v>https://www.mapy.cz?st=search&amp;fr=49.66739554 18.67403127</v>
      </c>
    </row>
    <row r="158" spans="1:15" ht="36">
      <c r="A158" s="16">
        <v>123</v>
      </c>
      <c r="B158" s="13" t="s">
        <v>13</v>
      </c>
      <c r="C158" s="13" t="s">
        <v>315</v>
      </c>
      <c r="D158" s="18">
        <v>488</v>
      </c>
      <c r="E158" s="15" t="s">
        <v>322</v>
      </c>
      <c r="F158" s="13" t="s">
        <v>323</v>
      </c>
      <c r="G158" s="18" t="s">
        <v>324</v>
      </c>
      <c r="H158" s="18" t="s">
        <v>79</v>
      </c>
      <c r="I158" s="18" t="s">
        <v>65</v>
      </c>
      <c r="J158" s="13"/>
      <c r="K158" s="3" t="s">
        <v>89</v>
      </c>
      <c r="L158" s="4" t="s">
        <v>173</v>
      </c>
      <c r="M158" s="19"/>
      <c r="N158" s="13" t="str">
        <f>HYPERLINK("https://www.stromypodkontrolou.cz/map/tree/eb9fcfc1-f6fa-405f-85c7-690b2fb79ecd/f8ca7577-96a6-4aff-b7a2-76fb27c3e7d4")</f>
        <v>https://www.stromypodkontrolou.cz/map/tree/eb9fcfc1-f6fa-405f-85c7-690b2fb79ecd/f8ca7577-96a6-4aff-b7a2-76fb27c3e7d4</v>
      </c>
      <c r="O158" s="13" t="str">
        <f>HYPERLINK("https://www.mapy.cz?st=search&amp;fr=49.66620591 18.67617315")</f>
        <v>https://www.mapy.cz?st=search&amp;fr=49.66620591 18.67617315</v>
      </c>
    </row>
    <row r="159" spans="1:15" ht="36">
      <c r="A159" s="16"/>
      <c r="B159" s="13"/>
      <c r="C159" s="13"/>
      <c r="D159" s="18"/>
      <c r="E159" s="15"/>
      <c r="F159" s="13"/>
      <c r="G159" s="18"/>
      <c r="H159" s="18"/>
      <c r="I159" s="18"/>
      <c r="J159" s="13"/>
      <c r="K159" s="3" t="s">
        <v>36</v>
      </c>
      <c r="L159" s="4" t="s">
        <v>60</v>
      </c>
      <c r="M159" s="19"/>
      <c r="N159" s="13"/>
      <c r="O159" s="13"/>
    </row>
    <row r="160" spans="1:15" ht="120">
      <c r="A160" s="10">
        <v>124</v>
      </c>
      <c r="B160" s="3" t="s">
        <v>13</v>
      </c>
      <c r="C160" s="3" t="s">
        <v>315</v>
      </c>
      <c r="D160" s="4">
        <v>498</v>
      </c>
      <c r="E160" s="5" t="s">
        <v>325</v>
      </c>
      <c r="F160" s="3" t="s">
        <v>326</v>
      </c>
      <c r="G160" s="4" t="s">
        <v>141</v>
      </c>
      <c r="H160" s="4" t="s">
        <v>327</v>
      </c>
      <c r="I160" s="4" t="s">
        <v>34</v>
      </c>
      <c r="J160" s="3" t="s">
        <v>172</v>
      </c>
      <c r="K160" s="3" t="s">
        <v>89</v>
      </c>
      <c r="L160" s="4" t="s">
        <v>328</v>
      </c>
      <c r="M160" s="19"/>
      <c r="N160" s="3" t="str">
        <f>HYPERLINK("https://www.stromypodkontrolou.cz/map/tree/eb9fcfc1-f6fa-405f-85c7-690b2fb79ecd/ba65dd46-6708-4551-bf9b-dcf8b7324ef2")</f>
        <v>https://www.stromypodkontrolou.cz/map/tree/eb9fcfc1-f6fa-405f-85c7-690b2fb79ecd/ba65dd46-6708-4551-bf9b-dcf8b7324ef2</v>
      </c>
      <c r="O160" s="3" t="str">
        <f>HYPERLINK("https://www.mapy.cz?st=search&amp;fr=49.66736769 18.67583363")</f>
        <v>https://www.mapy.cz?st=search&amp;fr=49.66736769 18.67583363</v>
      </c>
    </row>
    <row r="161" spans="1:15" ht="120">
      <c r="A161" s="10">
        <v>125</v>
      </c>
      <c r="B161" s="3" t="s">
        <v>13</v>
      </c>
      <c r="C161" s="3" t="s">
        <v>315</v>
      </c>
      <c r="D161" s="4">
        <v>512</v>
      </c>
      <c r="E161" s="5" t="s">
        <v>329</v>
      </c>
      <c r="F161" s="3" t="s">
        <v>330</v>
      </c>
      <c r="G161" s="4" t="s">
        <v>253</v>
      </c>
      <c r="H161" s="4" t="s">
        <v>132</v>
      </c>
      <c r="I161" s="4" t="s">
        <v>50</v>
      </c>
      <c r="J161" s="3" t="s">
        <v>331</v>
      </c>
      <c r="K161" s="3" t="s">
        <v>23</v>
      </c>
      <c r="L161" s="4" t="s">
        <v>118</v>
      </c>
      <c r="M161" s="19"/>
      <c r="N161" s="3" t="str">
        <f>HYPERLINK("https://www.stromypodkontrolou.cz/map/tree/eb9fcfc1-f6fa-405f-85c7-690b2fb79ecd/72f0c9be-8b72-4250-86f8-33d6fff2c24b")</f>
        <v>https://www.stromypodkontrolou.cz/map/tree/eb9fcfc1-f6fa-405f-85c7-690b2fb79ecd/72f0c9be-8b72-4250-86f8-33d6fff2c24b</v>
      </c>
      <c r="O161" s="3" t="str">
        <f>HYPERLINK("https://www.mapy.cz?st=search&amp;fr=49.66841875 18.67235907")</f>
        <v>https://www.mapy.cz?st=search&amp;fr=49.66841875 18.67235907</v>
      </c>
    </row>
    <row r="162" spans="1:15" ht="120">
      <c r="A162" s="10">
        <v>126</v>
      </c>
      <c r="B162" s="3" t="s">
        <v>13</v>
      </c>
      <c r="C162" s="3" t="s">
        <v>315</v>
      </c>
      <c r="D162" s="4">
        <v>533</v>
      </c>
      <c r="E162" s="5" t="s">
        <v>332</v>
      </c>
      <c r="F162" s="3" t="s">
        <v>333</v>
      </c>
      <c r="G162" s="4" t="s">
        <v>25</v>
      </c>
      <c r="H162" s="4" t="s">
        <v>26</v>
      </c>
      <c r="I162" s="4" t="s">
        <v>21</v>
      </c>
      <c r="J162" s="3"/>
      <c r="K162" s="3" t="s">
        <v>23</v>
      </c>
      <c r="L162" s="4" t="s">
        <v>24</v>
      </c>
      <c r="M162" s="19"/>
      <c r="N162" s="3" t="str">
        <f>HYPERLINK("https://www.stromypodkontrolou.cz/map/tree/eb9fcfc1-f6fa-405f-85c7-690b2fb79ecd/0b4f9b1c-6aa8-4ca1-a339-7528b9c85cdd")</f>
        <v>https://www.stromypodkontrolou.cz/map/tree/eb9fcfc1-f6fa-405f-85c7-690b2fb79ecd/0b4f9b1c-6aa8-4ca1-a339-7528b9c85cdd</v>
      </c>
      <c r="O162" s="3" t="str">
        <f>HYPERLINK("https://www.mapy.cz?st=search&amp;fr=49.66808597 18.67288578")</f>
        <v>https://www.mapy.cz?st=search&amp;fr=49.66808597 18.67288578</v>
      </c>
    </row>
    <row r="163" spans="1:15" ht="120">
      <c r="A163" s="10">
        <v>127</v>
      </c>
      <c r="B163" s="3" t="s">
        <v>13</v>
      </c>
      <c r="C163" s="3" t="s">
        <v>315</v>
      </c>
      <c r="D163" s="4">
        <v>534</v>
      </c>
      <c r="E163" s="5" t="s">
        <v>332</v>
      </c>
      <c r="F163" s="3" t="s">
        <v>333</v>
      </c>
      <c r="G163" s="4" t="s">
        <v>27</v>
      </c>
      <c r="H163" s="4" t="s">
        <v>26</v>
      </c>
      <c r="I163" s="4" t="s">
        <v>21</v>
      </c>
      <c r="J163" s="3"/>
      <c r="K163" s="3" t="s">
        <v>23</v>
      </c>
      <c r="L163" s="4" t="s">
        <v>24</v>
      </c>
      <c r="M163" s="19"/>
      <c r="N163" s="3" t="str">
        <f>HYPERLINK("https://www.stromypodkontrolou.cz/map/tree/eb9fcfc1-f6fa-405f-85c7-690b2fb79ecd/fa603e68-a580-408b-88f5-5fd643364bba")</f>
        <v>https://www.stromypodkontrolou.cz/map/tree/eb9fcfc1-f6fa-405f-85c7-690b2fb79ecd/fa603e68-a580-408b-88f5-5fd643364bba</v>
      </c>
      <c r="O163" s="3" t="str">
        <f>HYPERLINK("https://www.mapy.cz?st=search&amp;fr=49.66810485 18.67295686")</f>
        <v>https://www.mapy.cz?st=search&amp;fr=49.66810485 18.67295686</v>
      </c>
    </row>
    <row r="164" spans="1:15" ht="120">
      <c r="A164" s="10">
        <v>128</v>
      </c>
      <c r="B164" s="3" t="s">
        <v>13</v>
      </c>
      <c r="C164" s="3" t="s">
        <v>315</v>
      </c>
      <c r="D164" s="4">
        <v>540</v>
      </c>
      <c r="E164" s="5" t="s">
        <v>109</v>
      </c>
      <c r="F164" s="3" t="s">
        <v>110</v>
      </c>
      <c r="G164" s="4" t="s">
        <v>27</v>
      </c>
      <c r="H164" s="4" t="s">
        <v>26</v>
      </c>
      <c r="I164" s="4" t="s">
        <v>22</v>
      </c>
      <c r="J164" s="3"/>
      <c r="K164" s="3" t="s">
        <v>23</v>
      </c>
      <c r="L164" s="4" t="s">
        <v>24</v>
      </c>
      <c r="M164" s="19"/>
      <c r="N164" s="3" t="str">
        <f>HYPERLINK("https://www.stromypodkontrolou.cz/map/tree/eb9fcfc1-f6fa-405f-85c7-690b2fb79ecd/2fc2cb11-a992-42f7-8d18-1f94a4095ec5")</f>
        <v>https://www.stromypodkontrolou.cz/map/tree/eb9fcfc1-f6fa-405f-85c7-690b2fb79ecd/2fc2cb11-a992-42f7-8d18-1f94a4095ec5</v>
      </c>
      <c r="O164" s="3" t="str">
        <f>HYPERLINK("https://www.mapy.cz?st=search&amp;fr=49.66977499 18.67303493")</f>
        <v>https://www.mapy.cz?st=search&amp;fr=49.66977499 18.67303493</v>
      </c>
    </row>
    <row r="165" spans="1:15" ht="120">
      <c r="A165" s="10">
        <v>129</v>
      </c>
      <c r="B165" s="3" t="s">
        <v>13</v>
      </c>
      <c r="C165" s="3" t="s">
        <v>315</v>
      </c>
      <c r="D165" s="4">
        <v>541</v>
      </c>
      <c r="E165" s="5" t="s">
        <v>29</v>
      </c>
      <c r="F165" s="3" t="s">
        <v>30</v>
      </c>
      <c r="G165" s="4"/>
      <c r="H165" s="4" t="s">
        <v>26</v>
      </c>
      <c r="I165" s="4" t="s">
        <v>22</v>
      </c>
      <c r="J165" s="3"/>
      <c r="K165" s="3" t="s">
        <v>23</v>
      </c>
      <c r="L165" s="4" t="s">
        <v>24</v>
      </c>
      <c r="M165" s="19"/>
      <c r="N165" s="3" t="str">
        <f>HYPERLINK("https://www.stromypodkontrolou.cz/map/tree/eb9fcfc1-f6fa-405f-85c7-690b2fb79ecd/8e2d216f-bab9-4384-afc4-2ad734735563")</f>
        <v>https://www.stromypodkontrolou.cz/map/tree/eb9fcfc1-f6fa-405f-85c7-690b2fb79ecd/8e2d216f-bab9-4384-afc4-2ad734735563</v>
      </c>
      <c r="O165" s="3" t="str">
        <f>HYPERLINK("https://www.mapy.cz?st=search&amp;fr=49.66596409 18.67600380")</f>
        <v>https://www.mapy.cz?st=search&amp;fr=49.66596409 18.67600380</v>
      </c>
    </row>
    <row r="166" spans="1:15" ht="120">
      <c r="A166" s="10">
        <v>130</v>
      </c>
      <c r="B166" s="3" t="s">
        <v>13</v>
      </c>
      <c r="C166" s="3" t="s">
        <v>315</v>
      </c>
      <c r="D166" s="4">
        <v>542</v>
      </c>
      <c r="E166" s="5" t="s">
        <v>175</v>
      </c>
      <c r="F166" s="3" t="s">
        <v>176</v>
      </c>
      <c r="G166" s="4" t="s">
        <v>27</v>
      </c>
      <c r="H166" s="4" t="s">
        <v>26</v>
      </c>
      <c r="I166" s="4" t="s">
        <v>21</v>
      </c>
      <c r="J166" s="3"/>
      <c r="K166" s="3" t="s">
        <v>23</v>
      </c>
      <c r="L166" s="4" t="s">
        <v>24</v>
      </c>
      <c r="M166" s="19"/>
      <c r="N166" s="3" t="str">
        <f>HYPERLINK("https://www.stromypodkontrolou.cz/map/tree/eb9fcfc1-f6fa-405f-85c7-690b2fb79ecd/3df95564-90c2-432a-b023-0399ca1ef0e6")</f>
        <v>https://www.stromypodkontrolou.cz/map/tree/eb9fcfc1-f6fa-405f-85c7-690b2fb79ecd/3df95564-90c2-432a-b023-0399ca1ef0e6</v>
      </c>
      <c r="O166" s="3" t="str">
        <f>HYPERLINK("https://www.mapy.cz?st=search&amp;fr=49.66695970 18.67729763")</f>
        <v>https://www.mapy.cz?st=search&amp;fr=49.66695970 18.67729763</v>
      </c>
    </row>
    <row r="167" spans="1:15" ht="12.75" customHeight="1">
      <c r="A167" s="16">
        <v>131</v>
      </c>
      <c r="B167" s="13" t="s">
        <v>13</v>
      </c>
      <c r="C167" s="13" t="s">
        <v>315</v>
      </c>
      <c r="D167" s="18">
        <v>543</v>
      </c>
      <c r="E167" s="15" t="s">
        <v>334</v>
      </c>
      <c r="F167" s="13" t="s">
        <v>335</v>
      </c>
      <c r="G167" s="18" t="s">
        <v>17</v>
      </c>
      <c r="H167" s="18" t="s">
        <v>18</v>
      </c>
      <c r="I167" s="18" t="s">
        <v>20</v>
      </c>
      <c r="J167" s="13"/>
      <c r="K167" s="3" t="s">
        <v>112</v>
      </c>
      <c r="L167" s="4" t="s">
        <v>113</v>
      </c>
      <c r="M167" s="19"/>
      <c r="N167" s="13" t="str">
        <f>HYPERLINK("https://www.stromypodkontrolou.cz/map/tree/eb9fcfc1-f6fa-405f-85c7-690b2fb79ecd/bd445def-351d-46ba-88c3-220984330e69")</f>
        <v>https://www.stromypodkontrolou.cz/map/tree/eb9fcfc1-f6fa-405f-85c7-690b2fb79ecd/bd445def-351d-46ba-88c3-220984330e69</v>
      </c>
      <c r="O167" s="13" t="str">
        <f>HYPERLINK("https://www.mapy.cz?st=search&amp;fr=49.66691477 18.67620395")</f>
        <v>https://www.mapy.cz?st=search&amp;fr=49.66691477 18.67620395</v>
      </c>
    </row>
    <row r="168" spans="1:15" ht="12.75">
      <c r="A168" s="16"/>
      <c r="B168" s="13"/>
      <c r="C168" s="13"/>
      <c r="D168" s="18"/>
      <c r="E168" s="15"/>
      <c r="F168" s="13"/>
      <c r="G168" s="18"/>
      <c r="H168" s="18"/>
      <c r="I168" s="18"/>
      <c r="J168" s="13"/>
      <c r="K168" s="3" t="s">
        <v>23</v>
      </c>
      <c r="L168" s="4" t="s">
        <v>24</v>
      </c>
      <c r="M168" s="19"/>
      <c r="N168" s="13"/>
      <c r="O168" s="13"/>
    </row>
    <row r="169" spans="1:15" ht="120">
      <c r="A169" s="10">
        <v>132</v>
      </c>
      <c r="B169" s="3" t="s">
        <v>13</v>
      </c>
      <c r="C169" s="3" t="s">
        <v>338</v>
      </c>
      <c r="D169" s="4">
        <v>29</v>
      </c>
      <c r="E169" s="5" t="s">
        <v>339</v>
      </c>
      <c r="F169" s="3" t="s">
        <v>340</v>
      </c>
      <c r="G169" s="4" t="s">
        <v>177</v>
      </c>
      <c r="H169" s="4" t="s">
        <v>341</v>
      </c>
      <c r="I169" s="4" t="s">
        <v>65</v>
      </c>
      <c r="J169" s="3" t="s">
        <v>342</v>
      </c>
      <c r="K169" s="3" t="s">
        <v>112</v>
      </c>
      <c r="L169" s="4" t="s">
        <v>113</v>
      </c>
      <c r="M169" s="19"/>
      <c r="N169" s="3" t="str">
        <f>HYPERLINK("https://www.stromypodkontrolou.cz/map/tree/eb9fcfc1-f6fa-405f-85c7-690b2fb79ecd/076443a4-ca96-4ef7-b783-3b8362de71e1")</f>
        <v>https://www.stromypodkontrolou.cz/map/tree/eb9fcfc1-f6fa-405f-85c7-690b2fb79ecd/076443a4-ca96-4ef7-b783-3b8362de71e1</v>
      </c>
      <c r="O169" s="3" t="str">
        <f>HYPERLINK("https://www.mapy.cz?st=search&amp;fr=49.66900643 18.67052368")</f>
        <v>https://www.mapy.cz?st=search&amp;fr=49.66900643 18.67052368</v>
      </c>
    </row>
    <row r="170" spans="1:15" ht="120">
      <c r="A170" s="10">
        <v>133</v>
      </c>
      <c r="B170" s="3" t="s">
        <v>13</v>
      </c>
      <c r="C170" s="3" t="s">
        <v>338</v>
      </c>
      <c r="D170" s="4">
        <v>78</v>
      </c>
      <c r="E170" s="5" t="s">
        <v>91</v>
      </c>
      <c r="F170" s="3" t="s">
        <v>92</v>
      </c>
      <c r="G170" s="4" t="s">
        <v>343</v>
      </c>
      <c r="H170" s="4" t="s">
        <v>341</v>
      </c>
      <c r="I170" s="4" t="s">
        <v>253</v>
      </c>
      <c r="J170" s="3" t="s">
        <v>344</v>
      </c>
      <c r="K170" s="3" t="s">
        <v>89</v>
      </c>
      <c r="L170" s="4" t="s">
        <v>317</v>
      </c>
      <c r="M170" s="19"/>
      <c r="N170" s="3" t="str">
        <f>HYPERLINK("https://www.stromypodkontrolou.cz/map/tree/eb9fcfc1-f6fa-405f-85c7-690b2fb79ecd/1c5af4bf-76e2-4077-aebf-f91cdbe1ab23")</f>
        <v>https://www.stromypodkontrolou.cz/map/tree/eb9fcfc1-f6fa-405f-85c7-690b2fb79ecd/1c5af4bf-76e2-4077-aebf-f91cdbe1ab23</v>
      </c>
      <c r="O170" s="3" t="str">
        <f>HYPERLINK("https://www.mapy.cz?st=search&amp;fr=49.67055822 18.67168565")</f>
        <v>https://www.mapy.cz?st=search&amp;fr=49.67055822 18.67168565</v>
      </c>
    </row>
    <row r="171" spans="1:15" ht="12.75" customHeight="1">
      <c r="A171" s="16">
        <v>134</v>
      </c>
      <c r="B171" s="13" t="s">
        <v>13</v>
      </c>
      <c r="C171" s="13" t="s">
        <v>338</v>
      </c>
      <c r="D171" s="18">
        <v>136</v>
      </c>
      <c r="E171" s="15" t="s">
        <v>211</v>
      </c>
      <c r="F171" s="13" t="s">
        <v>212</v>
      </c>
      <c r="G171" s="18" t="s">
        <v>98</v>
      </c>
      <c r="H171" s="18" t="s">
        <v>49</v>
      </c>
      <c r="I171" s="18" t="s">
        <v>80</v>
      </c>
      <c r="J171" s="13" t="s">
        <v>345</v>
      </c>
      <c r="K171" s="3" t="s">
        <v>129</v>
      </c>
      <c r="L171" s="4" t="s">
        <v>164</v>
      </c>
      <c r="M171" s="19"/>
      <c r="N171" s="13" t="str">
        <f>HYPERLINK("https://www.stromypodkontrolou.cz/map/tree/eb9fcfc1-f6fa-405f-85c7-690b2fb79ecd/20881617-b95f-41f7-a420-eaf6a5ad45e4")</f>
        <v>https://www.stromypodkontrolou.cz/map/tree/eb9fcfc1-f6fa-405f-85c7-690b2fb79ecd/20881617-b95f-41f7-a420-eaf6a5ad45e4</v>
      </c>
      <c r="O171" s="13" t="str">
        <f>HYPERLINK("https://www.mapy.cz?st=search&amp;fr=49.67137485 18.67120550")</f>
        <v>https://www.mapy.cz?st=search&amp;fr=49.67137485 18.67120550</v>
      </c>
    </row>
    <row r="172" spans="1:15" ht="48" customHeight="1">
      <c r="A172" s="16"/>
      <c r="B172" s="13"/>
      <c r="C172" s="13"/>
      <c r="D172" s="18"/>
      <c r="E172" s="15"/>
      <c r="F172" s="13"/>
      <c r="G172" s="18"/>
      <c r="H172" s="18"/>
      <c r="I172" s="18"/>
      <c r="J172" s="13"/>
      <c r="K172" s="3" t="s">
        <v>112</v>
      </c>
      <c r="L172" s="4" t="s">
        <v>113</v>
      </c>
      <c r="M172" s="19"/>
      <c r="N172" s="13"/>
      <c r="O172" s="13"/>
    </row>
    <row r="173" spans="1:15" ht="120">
      <c r="A173" s="10">
        <v>135</v>
      </c>
      <c r="B173" s="3" t="s">
        <v>13</v>
      </c>
      <c r="C173" s="3" t="s">
        <v>338</v>
      </c>
      <c r="D173" s="4">
        <v>138</v>
      </c>
      <c r="E173" s="5" t="s">
        <v>346</v>
      </c>
      <c r="F173" s="3" t="s">
        <v>347</v>
      </c>
      <c r="G173" s="4" t="s">
        <v>119</v>
      </c>
      <c r="H173" s="4" t="s">
        <v>49</v>
      </c>
      <c r="I173" s="4" t="s">
        <v>25</v>
      </c>
      <c r="J173" s="3"/>
      <c r="K173" s="3" t="s">
        <v>36</v>
      </c>
      <c r="L173" s="4" t="s">
        <v>37</v>
      </c>
      <c r="M173" s="19"/>
      <c r="N173" s="3" t="str">
        <f>HYPERLINK("https://www.stromypodkontrolou.cz/map/tree/eb9fcfc1-f6fa-405f-85c7-690b2fb79ecd/ec722c6b-d1ea-4327-ae50-e2967b068cb1")</f>
        <v>https://www.stromypodkontrolou.cz/map/tree/eb9fcfc1-f6fa-405f-85c7-690b2fb79ecd/ec722c6b-d1ea-4327-ae50-e2967b068cb1</v>
      </c>
      <c r="O173" s="3" t="str">
        <f>HYPERLINK("https://www.mapy.cz?st=search&amp;fr=49.67134921 18.67041152")</f>
        <v>https://www.mapy.cz?st=search&amp;fr=49.67134921 18.67041152</v>
      </c>
    </row>
    <row r="174" spans="1:15" ht="120">
      <c r="A174" s="10">
        <v>136</v>
      </c>
      <c r="B174" s="3" t="s">
        <v>13</v>
      </c>
      <c r="C174" s="3" t="s">
        <v>338</v>
      </c>
      <c r="D174" s="4">
        <v>149</v>
      </c>
      <c r="E174" s="5" t="s">
        <v>91</v>
      </c>
      <c r="F174" s="3" t="s">
        <v>92</v>
      </c>
      <c r="G174" s="4" t="s">
        <v>64</v>
      </c>
      <c r="H174" s="4" t="s">
        <v>86</v>
      </c>
      <c r="I174" s="4" t="s">
        <v>17</v>
      </c>
      <c r="J174" s="3" t="s">
        <v>172</v>
      </c>
      <c r="K174" s="3" t="s">
        <v>89</v>
      </c>
      <c r="L174" s="4" t="s">
        <v>179</v>
      </c>
      <c r="M174" s="19"/>
      <c r="N174" s="3" t="str">
        <f>HYPERLINK("https://www.stromypodkontrolou.cz/map/tree/eb9fcfc1-f6fa-405f-85c7-690b2fb79ecd/b7f8a2db-66b1-4a0f-8941-08c62b97ca5d")</f>
        <v>https://www.stromypodkontrolou.cz/map/tree/eb9fcfc1-f6fa-405f-85c7-690b2fb79ecd/b7f8a2db-66b1-4a0f-8941-08c62b97ca5d</v>
      </c>
      <c r="O174" s="3" t="str">
        <f>HYPERLINK("https://www.mapy.cz?st=search&amp;fr=49.67093237 18.67168311")</f>
        <v>https://www.mapy.cz?st=search&amp;fr=49.67093237 18.67168311</v>
      </c>
    </row>
    <row r="175" spans="1:15" ht="120">
      <c r="A175" s="10">
        <v>137</v>
      </c>
      <c r="B175" s="3" t="s">
        <v>13</v>
      </c>
      <c r="C175" s="3" t="s">
        <v>338</v>
      </c>
      <c r="D175" s="4">
        <v>248</v>
      </c>
      <c r="E175" s="5" t="s">
        <v>130</v>
      </c>
      <c r="F175" s="3" t="s">
        <v>131</v>
      </c>
      <c r="G175" s="4" t="s">
        <v>27</v>
      </c>
      <c r="H175" s="4" t="s">
        <v>26</v>
      </c>
      <c r="I175" s="4" t="s">
        <v>22</v>
      </c>
      <c r="J175" s="3"/>
      <c r="K175" s="3" t="s">
        <v>23</v>
      </c>
      <c r="L175" s="4" t="s">
        <v>24</v>
      </c>
      <c r="M175" s="19"/>
      <c r="N175" s="3" t="str">
        <f>HYPERLINK("https://www.stromypodkontrolou.cz/map/tree/eb9fcfc1-f6fa-405f-85c7-690b2fb79ecd/5dc25c1a-6b84-45f6-a295-e11d72efe256")</f>
        <v>https://www.stromypodkontrolou.cz/map/tree/eb9fcfc1-f6fa-405f-85c7-690b2fb79ecd/5dc25c1a-6b84-45f6-a295-e11d72efe256</v>
      </c>
      <c r="O175" s="3" t="str">
        <f>HYPERLINK("https://www.mapy.cz?st=search&amp;fr=49.66982879 18.67148527")</f>
        <v>https://www.mapy.cz?st=search&amp;fr=49.66982879 18.67148527</v>
      </c>
    </row>
    <row r="176" spans="1:15" ht="120">
      <c r="A176" s="10">
        <v>138</v>
      </c>
      <c r="B176" s="3" t="s">
        <v>13</v>
      </c>
      <c r="C176" s="3" t="s">
        <v>348</v>
      </c>
      <c r="D176" s="4">
        <v>42</v>
      </c>
      <c r="E176" s="5" t="s">
        <v>349</v>
      </c>
      <c r="F176" s="3" t="s">
        <v>350</v>
      </c>
      <c r="G176" s="4" t="s">
        <v>34</v>
      </c>
      <c r="H176" s="4" t="s">
        <v>26</v>
      </c>
      <c r="I176" s="4" t="s">
        <v>20</v>
      </c>
      <c r="J176" s="3"/>
      <c r="K176" s="3" t="s">
        <v>38</v>
      </c>
      <c r="L176" s="4" t="s">
        <v>114</v>
      </c>
      <c r="M176" s="19"/>
      <c r="N176" s="3" t="str">
        <f>HYPERLINK("https://www.stromypodkontrolou.cz/map/tree/eb9fcfc1-f6fa-405f-85c7-690b2fb79ecd/522288f5-1ea3-41cb-941f-acf546d04ca3")</f>
        <v>https://www.stromypodkontrolou.cz/map/tree/eb9fcfc1-f6fa-405f-85c7-690b2fb79ecd/522288f5-1ea3-41cb-941f-acf546d04ca3</v>
      </c>
      <c r="O176" s="3" t="str">
        <f>HYPERLINK("https://www.mapy.cz?st=search&amp;fr=49.67206651 18.64273663")</f>
        <v>https://www.mapy.cz?st=search&amp;fr=49.67206651 18.64273663</v>
      </c>
    </row>
    <row r="177" spans="1:15" ht="120">
      <c r="A177" s="10">
        <v>139</v>
      </c>
      <c r="B177" s="3" t="s">
        <v>13</v>
      </c>
      <c r="C177" s="3" t="s">
        <v>348</v>
      </c>
      <c r="D177" s="4">
        <v>44</v>
      </c>
      <c r="E177" s="5" t="s">
        <v>248</v>
      </c>
      <c r="F177" s="3" t="s">
        <v>249</v>
      </c>
      <c r="G177" s="4" t="s">
        <v>34</v>
      </c>
      <c r="H177" s="4" t="s">
        <v>26</v>
      </c>
      <c r="I177" s="4" t="s">
        <v>21</v>
      </c>
      <c r="J177" s="3"/>
      <c r="K177" s="3" t="s">
        <v>23</v>
      </c>
      <c r="L177" s="4" t="s">
        <v>24</v>
      </c>
      <c r="M177" s="19"/>
      <c r="N177" s="3" t="str">
        <f>HYPERLINK("https://www.stromypodkontrolou.cz/map/tree/eb9fcfc1-f6fa-405f-85c7-690b2fb79ecd/342afc0c-85dc-4c10-8bc8-f10efdf02607")</f>
        <v>https://www.stromypodkontrolou.cz/map/tree/eb9fcfc1-f6fa-405f-85c7-690b2fb79ecd/342afc0c-85dc-4c10-8bc8-f10efdf02607</v>
      </c>
      <c r="O177" s="3" t="str">
        <f>HYPERLINK("https://www.mapy.cz?st=search&amp;fr=49.67203421 18.64299486")</f>
        <v>https://www.mapy.cz?st=search&amp;fr=49.67203421 18.64299486</v>
      </c>
    </row>
    <row r="178" spans="1:15" ht="120">
      <c r="A178" s="10">
        <v>140</v>
      </c>
      <c r="B178" s="3" t="s">
        <v>13</v>
      </c>
      <c r="C178" s="3" t="s">
        <v>351</v>
      </c>
      <c r="D178" s="4">
        <v>11</v>
      </c>
      <c r="E178" s="5" t="s">
        <v>239</v>
      </c>
      <c r="F178" s="3" t="s">
        <v>240</v>
      </c>
      <c r="G178" s="4" t="s">
        <v>96</v>
      </c>
      <c r="H178" s="4" t="s">
        <v>213</v>
      </c>
      <c r="I178" s="4" t="s">
        <v>25</v>
      </c>
      <c r="J178" s="3" t="s">
        <v>352</v>
      </c>
      <c r="K178" s="3" t="s">
        <v>89</v>
      </c>
      <c r="L178" s="4" t="s">
        <v>353</v>
      </c>
      <c r="M178" s="19"/>
      <c r="N178" s="3" t="str">
        <f>HYPERLINK("https://www.stromypodkontrolou.cz/map/tree/eb9fcfc1-f6fa-405f-85c7-690b2fb79ecd/55a108e9-d5e8-4304-8089-6592176f0954")</f>
        <v>https://www.stromypodkontrolou.cz/map/tree/eb9fcfc1-f6fa-405f-85c7-690b2fb79ecd/55a108e9-d5e8-4304-8089-6592176f0954</v>
      </c>
      <c r="O178" s="3" t="str">
        <f>HYPERLINK("https://www.mapy.cz?st=search&amp;fr=49.67404390 18.66671621")</f>
        <v>https://www.mapy.cz?st=search&amp;fr=49.67404390 18.66671621</v>
      </c>
    </row>
    <row r="179" spans="1:15" ht="36">
      <c r="A179" s="16">
        <v>141</v>
      </c>
      <c r="B179" s="13" t="s">
        <v>13</v>
      </c>
      <c r="C179" s="13" t="s">
        <v>354</v>
      </c>
      <c r="D179" s="18">
        <v>162</v>
      </c>
      <c r="E179" s="15" t="s">
        <v>355</v>
      </c>
      <c r="F179" s="13" t="s">
        <v>356</v>
      </c>
      <c r="G179" s="18" t="s">
        <v>168</v>
      </c>
      <c r="H179" s="18" t="s">
        <v>327</v>
      </c>
      <c r="I179" s="18" t="s">
        <v>34</v>
      </c>
      <c r="J179" s="13"/>
      <c r="K179" s="3" t="s">
        <v>36</v>
      </c>
      <c r="L179" s="4" t="s">
        <v>46</v>
      </c>
      <c r="M179" s="19"/>
      <c r="N179" s="13" t="str">
        <f>HYPERLINK("https://www.stromypodkontrolou.cz/map/tree/eb9fcfc1-f6fa-405f-85c7-690b2fb79ecd/89517dff-0dbd-491f-8938-bf3123afa7c6")</f>
        <v>https://www.stromypodkontrolou.cz/map/tree/eb9fcfc1-f6fa-405f-85c7-690b2fb79ecd/89517dff-0dbd-491f-8938-bf3123afa7c6</v>
      </c>
      <c r="O179" s="13" t="str">
        <f>HYPERLINK("https://www.mapy.cz?st=search&amp;fr=49.66517951 18.67697776")</f>
        <v>https://www.mapy.cz?st=search&amp;fr=49.66517951 18.67697776</v>
      </c>
    </row>
    <row r="180" spans="1:15" ht="12.75">
      <c r="A180" s="16"/>
      <c r="B180" s="13"/>
      <c r="C180" s="13"/>
      <c r="D180" s="18"/>
      <c r="E180" s="15"/>
      <c r="F180" s="13"/>
      <c r="G180" s="18"/>
      <c r="H180" s="18"/>
      <c r="I180" s="18"/>
      <c r="J180" s="13"/>
      <c r="K180" s="3" t="s">
        <v>38</v>
      </c>
      <c r="L180" s="4" t="s">
        <v>142</v>
      </c>
      <c r="M180" s="19"/>
      <c r="N180" s="13"/>
      <c r="O180" s="13"/>
    </row>
    <row r="181" spans="1:15" ht="120">
      <c r="A181" s="10">
        <v>142</v>
      </c>
      <c r="B181" s="3" t="s">
        <v>13</v>
      </c>
      <c r="C181" s="3" t="s">
        <v>362</v>
      </c>
      <c r="D181" s="4">
        <v>26</v>
      </c>
      <c r="E181" s="5" t="s">
        <v>239</v>
      </c>
      <c r="F181" s="3" t="s">
        <v>240</v>
      </c>
      <c r="G181" s="4" t="s">
        <v>42</v>
      </c>
      <c r="H181" s="4" t="s">
        <v>327</v>
      </c>
      <c r="I181" s="4" t="s">
        <v>34</v>
      </c>
      <c r="J181" s="3" t="s">
        <v>75</v>
      </c>
      <c r="K181" s="3" t="s">
        <v>71</v>
      </c>
      <c r="L181" s="4" t="s">
        <v>363</v>
      </c>
      <c r="M181" s="19"/>
      <c r="N181" s="3" t="str">
        <f>HYPERLINK("https://www.stromypodkontrolou.cz/map/tree/eb9fcfc1-f6fa-405f-85c7-690b2fb79ecd/d3f51432-704a-47c3-8258-6d61849f91cb")</f>
        <v>https://www.stromypodkontrolou.cz/map/tree/eb9fcfc1-f6fa-405f-85c7-690b2fb79ecd/d3f51432-704a-47c3-8258-6d61849f91cb</v>
      </c>
      <c r="O181" s="3" t="str">
        <f>HYPERLINK("https://www.mapy.cz?st=search&amp;fr=49.67319029 18.66996401")</f>
        <v>https://www.mapy.cz?st=search&amp;fr=49.67319029 18.66996401</v>
      </c>
    </row>
    <row r="182" spans="1:15" ht="120">
      <c r="A182" s="10">
        <v>143</v>
      </c>
      <c r="B182" s="3" t="s">
        <v>13</v>
      </c>
      <c r="C182" s="3" t="s">
        <v>362</v>
      </c>
      <c r="D182" s="4">
        <v>197</v>
      </c>
      <c r="E182" s="5" t="s">
        <v>364</v>
      </c>
      <c r="F182" s="3" t="s">
        <v>365</v>
      </c>
      <c r="G182" s="4" t="s">
        <v>20</v>
      </c>
      <c r="H182" s="4" t="s">
        <v>26</v>
      </c>
      <c r="I182" s="4" t="s">
        <v>21</v>
      </c>
      <c r="J182" s="3"/>
      <c r="K182" s="3" t="s">
        <v>23</v>
      </c>
      <c r="L182" s="4" t="s">
        <v>24</v>
      </c>
      <c r="M182" s="19"/>
      <c r="N182" s="3" t="str">
        <f>HYPERLINK("https://www.stromypodkontrolou.cz/map/tree/eb9fcfc1-f6fa-405f-85c7-690b2fb79ecd/7484a7dc-2962-48e9-9ffc-67094ad39341")</f>
        <v>https://www.stromypodkontrolou.cz/map/tree/eb9fcfc1-f6fa-405f-85c7-690b2fb79ecd/7484a7dc-2962-48e9-9ffc-67094ad39341</v>
      </c>
      <c r="O182" s="3" t="str">
        <f>HYPERLINK("https://www.mapy.cz?st=search&amp;fr=49.67200856 18.66951609")</f>
        <v>https://www.mapy.cz?st=search&amp;fr=49.67200856 18.66951609</v>
      </c>
    </row>
    <row r="183" spans="1:15" ht="120">
      <c r="A183" s="10">
        <v>144</v>
      </c>
      <c r="B183" s="3" t="s">
        <v>13</v>
      </c>
      <c r="C183" s="3" t="s">
        <v>362</v>
      </c>
      <c r="D183" s="4">
        <v>200</v>
      </c>
      <c r="E183" s="5" t="s">
        <v>357</v>
      </c>
      <c r="F183" s="3" t="s">
        <v>358</v>
      </c>
      <c r="G183" s="4" t="s">
        <v>366</v>
      </c>
      <c r="H183" s="4" t="s">
        <v>97</v>
      </c>
      <c r="I183" s="4" t="s">
        <v>87</v>
      </c>
      <c r="J183" s="3" t="s">
        <v>368</v>
      </c>
      <c r="K183" s="3" t="s">
        <v>89</v>
      </c>
      <c r="L183" s="4" t="s">
        <v>60</v>
      </c>
      <c r="M183" s="19"/>
      <c r="N183" s="3" t="str">
        <f>HYPERLINK("https://www.stromypodkontrolou.cz/map/tree/eb9fcfc1-f6fa-405f-85c7-690b2fb79ecd/061f5a86-2e64-499b-b87c-f493b430f6b5")</f>
        <v>https://www.stromypodkontrolou.cz/map/tree/eb9fcfc1-f6fa-405f-85c7-690b2fb79ecd/061f5a86-2e64-499b-b87c-f493b430f6b5</v>
      </c>
      <c r="O183" s="3" t="str">
        <f>HYPERLINK("https://www.mapy.cz?st=search&amp;fr=49.67154096 18.66949343")</f>
        <v>https://www.mapy.cz?st=search&amp;fr=49.67154096 18.66949343</v>
      </c>
    </row>
    <row r="184" spans="1:15" ht="120">
      <c r="A184" s="10">
        <v>145</v>
      </c>
      <c r="B184" s="3" t="s">
        <v>13</v>
      </c>
      <c r="C184" s="3" t="s">
        <v>362</v>
      </c>
      <c r="D184" s="4">
        <v>247</v>
      </c>
      <c r="E184" s="5" t="s">
        <v>153</v>
      </c>
      <c r="F184" s="3" t="s">
        <v>154</v>
      </c>
      <c r="G184" s="4" t="s">
        <v>369</v>
      </c>
      <c r="H184" s="4" t="s">
        <v>32</v>
      </c>
      <c r="I184" s="4" t="s">
        <v>25</v>
      </c>
      <c r="J184" s="3" t="s">
        <v>370</v>
      </c>
      <c r="K184" s="3" t="s">
        <v>38</v>
      </c>
      <c r="L184" s="4" t="s">
        <v>371</v>
      </c>
      <c r="M184" s="19"/>
      <c r="N184" s="3" t="str">
        <f>HYPERLINK("https://www.stromypodkontrolou.cz/map/tree/eb9fcfc1-f6fa-405f-85c7-690b2fb79ecd/d3d9bfec-fdc4-4527-a245-80df66023e4d")</f>
        <v>https://www.stromypodkontrolou.cz/map/tree/eb9fcfc1-f6fa-405f-85c7-690b2fb79ecd/d3d9bfec-fdc4-4527-a245-80df66023e4d</v>
      </c>
      <c r="O184" s="3" t="str">
        <f>HYPERLINK("https://www.mapy.cz?st=search&amp;fr=49.67282363 18.66953337")</f>
        <v>https://www.mapy.cz?st=search&amp;fr=49.67282363 18.66953337</v>
      </c>
    </row>
    <row r="185" spans="1:15" ht="120">
      <c r="A185" s="10">
        <v>146</v>
      </c>
      <c r="B185" s="3" t="s">
        <v>13</v>
      </c>
      <c r="C185" s="3" t="s">
        <v>372</v>
      </c>
      <c r="D185" s="4">
        <v>37</v>
      </c>
      <c r="E185" s="5" t="s">
        <v>373</v>
      </c>
      <c r="F185" s="3" t="s">
        <v>374</v>
      </c>
      <c r="G185" s="4" t="s">
        <v>87</v>
      </c>
      <c r="H185" s="4" t="s">
        <v>18</v>
      </c>
      <c r="I185" s="4" t="s">
        <v>21</v>
      </c>
      <c r="J185" s="3"/>
      <c r="K185" s="3" t="s">
        <v>23</v>
      </c>
      <c r="L185" s="4" t="s">
        <v>24</v>
      </c>
      <c r="M185" s="19"/>
      <c r="N185" s="3" t="str">
        <f>HYPERLINK("https://www.stromypodkontrolou.cz/map/tree/eb9fcfc1-f6fa-405f-85c7-690b2fb79ecd/39fa11b1-3f12-4dc1-a528-1291588418c2")</f>
        <v>https://www.stromypodkontrolou.cz/map/tree/eb9fcfc1-f6fa-405f-85c7-690b2fb79ecd/39fa11b1-3f12-4dc1-a528-1291588418c2</v>
      </c>
      <c r="O185" s="3" t="str">
        <f>HYPERLINK("https://www.mapy.cz?st=search&amp;fr=49.67622053 18.66545133")</f>
        <v>https://www.mapy.cz?st=search&amp;fr=49.67622053 18.66545133</v>
      </c>
    </row>
    <row r="186" spans="1:15" ht="120">
      <c r="A186" s="10">
        <v>147</v>
      </c>
      <c r="B186" s="3" t="s">
        <v>13</v>
      </c>
      <c r="C186" s="3" t="s">
        <v>372</v>
      </c>
      <c r="D186" s="4">
        <v>38</v>
      </c>
      <c r="E186" s="5" t="s">
        <v>373</v>
      </c>
      <c r="F186" s="3" t="s">
        <v>374</v>
      </c>
      <c r="G186" s="4" t="s">
        <v>87</v>
      </c>
      <c r="H186" s="4" t="s">
        <v>18</v>
      </c>
      <c r="I186" s="4" t="s">
        <v>21</v>
      </c>
      <c r="J186" s="3"/>
      <c r="K186" s="3" t="s">
        <v>23</v>
      </c>
      <c r="L186" s="4" t="s">
        <v>24</v>
      </c>
      <c r="M186" s="19"/>
      <c r="N186" s="3" t="str">
        <f>HYPERLINK("https://www.stromypodkontrolou.cz/map/tree/eb9fcfc1-f6fa-405f-85c7-690b2fb79ecd/9c37efae-a628-47d9-957d-9cfe76ce622d")</f>
        <v>https://www.stromypodkontrolou.cz/map/tree/eb9fcfc1-f6fa-405f-85c7-690b2fb79ecd/9c37efae-a628-47d9-957d-9cfe76ce622d</v>
      </c>
      <c r="O186" s="3" t="str">
        <f>HYPERLINK("https://www.mapy.cz?st=search&amp;fr=49.67629448 18.66539259")</f>
        <v>https://www.mapy.cz?st=search&amp;fr=49.67629448 18.66539259</v>
      </c>
    </row>
    <row r="187" spans="1:15" ht="120">
      <c r="A187" s="10">
        <v>148</v>
      </c>
      <c r="B187" s="3" t="s">
        <v>13</v>
      </c>
      <c r="C187" s="3" t="s">
        <v>375</v>
      </c>
      <c r="D187" s="4">
        <v>10</v>
      </c>
      <c r="E187" s="5" t="s">
        <v>150</v>
      </c>
      <c r="F187" s="3" t="s">
        <v>151</v>
      </c>
      <c r="G187" s="4" t="s">
        <v>99</v>
      </c>
      <c r="H187" s="4" t="s">
        <v>26</v>
      </c>
      <c r="I187" s="4" t="s">
        <v>20</v>
      </c>
      <c r="J187" s="3" t="s">
        <v>306</v>
      </c>
      <c r="K187" s="3" t="s">
        <v>112</v>
      </c>
      <c r="L187" s="4" t="s">
        <v>113</v>
      </c>
      <c r="M187" s="19"/>
      <c r="N187" s="3" t="str">
        <f>HYPERLINK("https://www.stromypodkontrolou.cz/map/tree/eb9fcfc1-f6fa-405f-85c7-690b2fb79ecd/f1065cd8-9ec5-4027-b9aa-d26129e19381")</f>
        <v>https://www.stromypodkontrolou.cz/map/tree/eb9fcfc1-f6fa-405f-85c7-690b2fb79ecd/f1065cd8-9ec5-4027-b9aa-d26129e19381</v>
      </c>
      <c r="O187" s="3" t="str">
        <f>HYPERLINK("https://www.mapy.cz?st=search&amp;fr=49.66513598 18.67515689")</f>
        <v>https://www.mapy.cz?st=search&amp;fr=49.66513598 18.67515689</v>
      </c>
    </row>
    <row r="188" spans="1:15" ht="120">
      <c r="A188" s="10">
        <v>149</v>
      </c>
      <c r="B188" s="3" t="s">
        <v>13</v>
      </c>
      <c r="C188" s="3" t="s">
        <v>376</v>
      </c>
      <c r="D188" s="4">
        <v>82</v>
      </c>
      <c r="E188" s="5" t="s">
        <v>336</v>
      </c>
      <c r="F188" s="3" t="s">
        <v>337</v>
      </c>
      <c r="G188" s="4" t="s">
        <v>22</v>
      </c>
      <c r="H188" s="4" t="s">
        <v>33</v>
      </c>
      <c r="I188" s="4" t="s">
        <v>22</v>
      </c>
      <c r="J188" s="3"/>
      <c r="K188" s="3" t="s">
        <v>23</v>
      </c>
      <c r="L188" s="4" t="s">
        <v>125</v>
      </c>
      <c r="M188" s="19"/>
      <c r="N188" s="3" t="str">
        <f>HYPERLINK("https://www.stromypodkontrolou.cz/map/tree/eb9fcfc1-f6fa-405f-85c7-690b2fb79ecd/da67c696-7add-466b-bda4-19d7976123cd")</f>
        <v>https://www.stromypodkontrolou.cz/map/tree/eb9fcfc1-f6fa-405f-85c7-690b2fb79ecd/da67c696-7add-466b-bda4-19d7976123cd</v>
      </c>
      <c r="O188" s="3" t="str">
        <f>HYPERLINK("https://www.mapy.cz?st=search&amp;fr=49.66806901 18.67569441")</f>
        <v>https://www.mapy.cz?st=search&amp;fr=49.66806901 18.67569441</v>
      </c>
    </row>
    <row r="189" spans="1:15" ht="120">
      <c r="A189" s="10">
        <v>150</v>
      </c>
      <c r="B189" s="3" t="s">
        <v>13</v>
      </c>
      <c r="C189" s="3" t="s">
        <v>377</v>
      </c>
      <c r="D189" s="4">
        <v>30</v>
      </c>
      <c r="E189" s="5" t="s">
        <v>378</v>
      </c>
      <c r="F189" s="3" t="s">
        <v>379</v>
      </c>
      <c r="G189" s="4" t="s">
        <v>145</v>
      </c>
      <c r="H189" s="4" t="s">
        <v>69</v>
      </c>
      <c r="I189" s="4" t="s">
        <v>34</v>
      </c>
      <c r="J189" s="3"/>
      <c r="K189" s="3" t="s">
        <v>38</v>
      </c>
      <c r="L189" s="4" t="s">
        <v>142</v>
      </c>
      <c r="M189" s="19"/>
      <c r="N189" s="3" t="str">
        <f>HYPERLINK("https://www.stromypodkontrolou.cz/map/tree/eb9fcfc1-f6fa-405f-85c7-690b2fb79ecd/3ee140cc-0e0d-4d7e-b9b8-4df840d549ed")</f>
        <v>https://www.stromypodkontrolou.cz/map/tree/eb9fcfc1-f6fa-405f-85c7-690b2fb79ecd/3ee140cc-0e0d-4d7e-b9b8-4df840d549ed</v>
      </c>
      <c r="O189" s="3" t="str">
        <f>HYPERLINK("https://www.mapy.cz?st=search&amp;fr=49.66934061 18.67659617")</f>
        <v>https://www.mapy.cz?st=search&amp;fr=49.66934061 18.67659617</v>
      </c>
    </row>
    <row r="190" spans="1:15" ht="120">
      <c r="A190" s="10">
        <v>151</v>
      </c>
      <c r="B190" s="3" t="s">
        <v>13</v>
      </c>
      <c r="C190" s="3" t="s">
        <v>380</v>
      </c>
      <c r="D190" s="4">
        <v>11</v>
      </c>
      <c r="E190" s="5" t="s">
        <v>381</v>
      </c>
      <c r="F190" s="3" t="s">
        <v>382</v>
      </c>
      <c r="G190" s="4" t="s">
        <v>27</v>
      </c>
      <c r="H190" s="4" t="s">
        <v>18</v>
      </c>
      <c r="I190" s="4" t="s">
        <v>22</v>
      </c>
      <c r="J190" s="3"/>
      <c r="K190" s="3" t="s">
        <v>23</v>
      </c>
      <c r="L190" s="4" t="s">
        <v>24</v>
      </c>
      <c r="M190" s="19"/>
      <c r="N190" s="3" t="str">
        <f>HYPERLINK("https://www.stromypodkontrolou.cz/map/tree/eb9fcfc1-f6fa-405f-85c7-690b2fb79ecd/98802570-f748-44e6-85dc-17f643326b41")</f>
        <v>https://www.stromypodkontrolou.cz/map/tree/eb9fcfc1-f6fa-405f-85c7-690b2fb79ecd/98802570-f748-44e6-85dc-17f643326b41</v>
      </c>
      <c r="O190" s="3" t="str">
        <f>HYPERLINK("https://www.mapy.cz?st=search&amp;fr=49.66962679 18.66707764")</f>
        <v>https://www.mapy.cz?st=search&amp;fr=49.66962679 18.66707764</v>
      </c>
    </row>
    <row r="191" spans="1:15" ht="36">
      <c r="A191" s="16">
        <v>152</v>
      </c>
      <c r="B191" s="13" t="s">
        <v>13</v>
      </c>
      <c r="C191" s="13" t="s">
        <v>383</v>
      </c>
      <c r="D191" s="18">
        <v>12</v>
      </c>
      <c r="E191" s="15" t="s">
        <v>244</v>
      </c>
      <c r="F191" s="13" t="s">
        <v>245</v>
      </c>
      <c r="G191" s="18" t="s">
        <v>384</v>
      </c>
      <c r="H191" s="18" t="s">
        <v>97</v>
      </c>
      <c r="I191" s="18" t="s">
        <v>87</v>
      </c>
      <c r="J191" s="13" t="s">
        <v>75</v>
      </c>
      <c r="K191" s="3" t="s">
        <v>89</v>
      </c>
      <c r="L191" s="4" t="s">
        <v>173</v>
      </c>
      <c r="M191" s="19"/>
      <c r="N191" s="13" t="str">
        <f>HYPERLINK("https://www.stromypodkontrolou.cz/map/tree/eb9fcfc1-f6fa-405f-85c7-690b2fb79ecd/30c9033c-adab-4a6f-a1c2-539300002ba4")</f>
        <v>https://www.stromypodkontrolou.cz/map/tree/eb9fcfc1-f6fa-405f-85c7-690b2fb79ecd/30c9033c-adab-4a6f-a1c2-539300002ba4</v>
      </c>
      <c r="O191" s="13" t="str">
        <f>HYPERLINK("https://www.mapy.cz?st=search&amp;fr=49.67091293 18.67774226")</f>
        <v>https://www.mapy.cz?st=search&amp;fr=49.67091293 18.67774226</v>
      </c>
    </row>
    <row r="192" spans="1:15" ht="36">
      <c r="A192" s="16"/>
      <c r="B192" s="13"/>
      <c r="C192" s="13"/>
      <c r="D192" s="18"/>
      <c r="E192" s="15"/>
      <c r="F192" s="13"/>
      <c r="G192" s="18"/>
      <c r="H192" s="18"/>
      <c r="I192" s="18"/>
      <c r="J192" s="13"/>
      <c r="K192" s="3" t="s">
        <v>38</v>
      </c>
      <c r="L192" s="4" t="s">
        <v>273</v>
      </c>
      <c r="M192" s="19"/>
      <c r="N192" s="13"/>
      <c r="O192" s="13"/>
    </row>
    <row r="193" spans="1:15" ht="36">
      <c r="A193" s="16">
        <v>153</v>
      </c>
      <c r="B193" s="13" t="s">
        <v>13</v>
      </c>
      <c r="C193" s="13" t="s">
        <v>385</v>
      </c>
      <c r="D193" s="18">
        <v>47</v>
      </c>
      <c r="E193" s="15" t="s">
        <v>155</v>
      </c>
      <c r="F193" s="13" t="s">
        <v>156</v>
      </c>
      <c r="G193" s="18" t="s">
        <v>386</v>
      </c>
      <c r="H193" s="18" t="s">
        <v>341</v>
      </c>
      <c r="I193" s="18" t="s">
        <v>87</v>
      </c>
      <c r="J193" s="13" t="s">
        <v>387</v>
      </c>
      <c r="K193" s="6" t="s">
        <v>264</v>
      </c>
      <c r="L193" s="4" t="s">
        <v>388</v>
      </c>
      <c r="M193" s="19"/>
      <c r="N193" s="13" t="str">
        <f>HYPERLINK("https://www.stromypodkontrolou.cz/map/tree/eb9fcfc1-f6fa-405f-85c7-690b2fb79ecd/95bcc12a-9bdc-4435-9c87-d6d730308ef8")</f>
        <v>https://www.stromypodkontrolou.cz/map/tree/eb9fcfc1-f6fa-405f-85c7-690b2fb79ecd/95bcc12a-9bdc-4435-9c87-d6d730308ef8</v>
      </c>
      <c r="O193" s="13" t="str">
        <f>HYPERLINK("https://www.mapy.cz?st=search&amp;fr=49.67869905 18.64649328")</f>
        <v>https://www.mapy.cz?st=search&amp;fr=49.67869905 18.64649328</v>
      </c>
    </row>
    <row r="194" spans="1:15" ht="24" customHeight="1">
      <c r="A194" s="16"/>
      <c r="B194" s="13"/>
      <c r="C194" s="13"/>
      <c r="D194" s="18"/>
      <c r="E194" s="15"/>
      <c r="F194" s="13"/>
      <c r="G194" s="18"/>
      <c r="H194" s="18"/>
      <c r="I194" s="18"/>
      <c r="J194" s="13"/>
      <c r="K194" s="3" t="s">
        <v>38</v>
      </c>
      <c r="L194" s="4" t="s">
        <v>389</v>
      </c>
      <c r="M194" s="19"/>
      <c r="N194" s="13"/>
      <c r="O194" s="13"/>
    </row>
    <row r="195" spans="1:15" ht="120">
      <c r="A195" s="10">
        <v>154</v>
      </c>
      <c r="B195" s="3" t="s">
        <v>13</v>
      </c>
      <c r="C195" s="3" t="s">
        <v>385</v>
      </c>
      <c r="D195" s="4">
        <v>56</v>
      </c>
      <c r="E195" s="5" t="s">
        <v>29</v>
      </c>
      <c r="F195" s="3" t="s">
        <v>30</v>
      </c>
      <c r="G195" s="4" t="s">
        <v>225</v>
      </c>
      <c r="H195" s="4" t="s">
        <v>182</v>
      </c>
      <c r="I195" s="4" t="s">
        <v>34</v>
      </c>
      <c r="J195" s="3"/>
      <c r="K195" s="3" t="s">
        <v>36</v>
      </c>
      <c r="L195" s="4" t="s">
        <v>37</v>
      </c>
      <c r="M195" s="19"/>
      <c r="N195" s="3" t="str">
        <f>HYPERLINK("https://www.stromypodkontrolou.cz/map/tree/eb9fcfc1-f6fa-405f-85c7-690b2fb79ecd/abcefaf8-f59f-45d1-9fe8-83d0b98bd3c6")</f>
        <v>https://www.stromypodkontrolou.cz/map/tree/eb9fcfc1-f6fa-405f-85c7-690b2fb79ecd/abcefaf8-f59f-45d1-9fe8-83d0b98bd3c6</v>
      </c>
      <c r="O195" s="3" t="str">
        <f>HYPERLINK("https://www.mapy.cz?st=search&amp;fr=49.67834969 18.64633172")</f>
        <v>https://www.mapy.cz?st=search&amp;fr=49.67834969 18.64633172</v>
      </c>
    </row>
    <row r="196" spans="1:15" ht="120">
      <c r="A196" s="10">
        <v>155</v>
      </c>
      <c r="B196" s="3" t="s">
        <v>13</v>
      </c>
      <c r="C196" s="3" t="s">
        <v>385</v>
      </c>
      <c r="D196" s="4">
        <v>59</v>
      </c>
      <c r="E196" s="5" t="s">
        <v>123</v>
      </c>
      <c r="F196" s="3" t="s">
        <v>124</v>
      </c>
      <c r="G196" s="4" t="s">
        <v>64</v>
      </c>
      <c r="H196" s="4" t="s">
        <v>178</v>
      </c>
      <c r="I196" s="4" t="s">
        <v>87</v>
      </c>
      <c r="J196" s="3" t="s">
        <v>390</v>
      </c>
      <c r="K196" s="3" t="s">
        <v>129</v>
      </c>
      <c r="L196" s="4" t="s">
        <v>202</v>
      </c>
      <c r="M196" s="19"/>
      <c r="N196" s="3" t="str">
        <f>HYPERLINK("https://www.stromypodkontrolou.cz/map/tree/eb9fcfc1-f6fa-405f-85c7-690b2fb79ecd/4f911220-4c25-4439-9f21-bff1d700d54b")</f>
        <v>https://www.stromypodkontrolou.cz/map/tree/eb9fcfc1-f6fa-405f-85c7-690b2fb79ecd/4f911220-4c25-4439-9f21-bff1d700d54b</v>
      </c>
      <c r="O196" s="3" t="str">
        <f>HYPERLINK("https://www.mapy.cz?st=search&amp;fr=49.67830538 18.64618750")</f>
        <v>https://www.mapy.cz?st=search&amp;fr=49.67830538 18.64618750</v>
      </c>
    </row>
    <row r="197" spans="1:15" ht="120">
      <c r="A197" s="10">
        <v>156</v>
      </c>
      <c r="B197" s="3" t="s">
        <v>13</v>
      </c>
      <c r="C197" s="3" t="s">
        <v>391</v>
      </c>
      <c r="D197" s="4">
        <v>32</v>
      </c>
      <c r="E197" s="5" t="s">
        <v>76</v>
      </c>
      <c r="F197" s="3" t="s">
        <v>77</v>
      </c>
      <c r="G197" s="4" t="s">
        <v>56</v>
      </c>
      <c r="H197" s="4" t="s">
        <v>49</v>
      </c>
      <c r="I197" s="4" t="s">
        <v>25</v>
      </c>
      <c r="J197" s="3" t="s">
        <v>250</v>
      </c>
      <c r="K197" s="3" t="s">
        <v>38</v>
      </c>
      <c r="L197" s="4" t="s">
        <v>73</v>
      </c>
      <c r="M197" s="19"/>
      <c r="N197" s="3" t="str">
        <f>HYPERLINK("https://www.stromypodkontrolou.cz/map/tree/eb9fcfc1-f6fa-405f-85c7-690b2fb79ecd/a7f902aa-a403-4e1d-abc4-1b0d682d4969")</f>
        <v>https://www.stromypodkontrolou.cz/map/tree/eb9fcfc1-f6fa-405f-85c7-690b2fb79ecd/a7f902aa-a403-4e1d-abc4-1b0d682d4969</v>
      </c>
      <c r="O197" s="3" t="str">
        <f>HYPERLINK("https://www.mapy.cz?st=search&amp;fr=49.67794978 18.66791188")</f>
        <v>https://www.mapy.cz?st=search&amp;fr=49.67794978 18.66791188</v>
      </c>
    </row>
    <row r="198" spans="1:15" ht="120">
      <c r="A198" s="10">
        <v>157</v>
      </c>
      <c r="B198" s="3" t="s">
        <v>13</v>
      </c>
      <c r="C198" s="3" t="s">
        <v>391</v>
      </c>
      <c r="D198" s="4">
        <v>47</v>
      </c>
      <c r="E198" s="5" t="s">
        <v>392</v>
      </c>
      <c r="F198" s="3" t="s">
        <v>393</v>
      </c>
      <c r="G198" s="4" t="s">
        <v>394</v>
      </c>
      <c r="H198" s="4" t="s">
        <v>86</v>
      </c>
      <c r="I198" s="4" t="s">
        <v>80</v>
      </c>
      <c r="J198" s="3" t="s">
        <v>395</v>
      </c>
      <c r="K198" s="3" t="s">
        <v>38</v>
      </c>
      <c r="L198" s="4" t="s">
        <v>195</v>
      </c>
      <c r="M198" s="19"/>
      <c r="N198" s="3" t="str">
        <f>HYPERLINK("https://www.stromypodkontrolou.cz/map/tree/eb9fcfc1-f6fa-405f-85c7-690b2fb79ecd/0bc2d725-3a70-4eec-9622-b567b9f75740")</f>
        <v>https://www.stromypodkontrolou.cz/map/tree/eb9fcfc1-f6fa-405f-85c7-690b2fb79ecd/0bc2d725-3a70-4eec-9622-b567b9f75740</v>
      </c>
      <c r="O198" s="3" t="str">
        <f>HYPERLINK("https://www.mapy.cz?st=search&amp;fr=49.67773837 18.66900049")</f>
        <v>https://www.mapy.cz?st=search&amp;fr=49.67773837 18.66900049</v>
      </c>
    </row>
    <row r="199" spans="1:15" ht="120">
      <c r="A199" s="10">
        <v>158</v>
      </c>
      <c r="B199" s="3" t="s">
        <v>13</v>
      </c>
      <c r="C199" s="3" t="s">
        <v>391</v>
      </c>
      <c r="D199" s="4">
        <v>84</v>
      </c>
      <c r="E199" s="5" t="s">
        <v>322</v>
      </c>
      <c r="F199" s="3" t="s">
        <v>323</v>
      </c>
      <c r="G199" s="4" t="s">
        <v>87</v>
      </c>
      <c r="H199" s="4" t="s">
        <v>18</v>
      </c>
      <c r="I199" s="4" t="s">
        <v>20</v>
      </c>
      <c r="J199" s="3"/>
      <c r="K199" s="3" t="s">
        <v>23</v>
      </c>
      <c r="L199" s="4" t="s">
        <v>24</v>
      </c>
      <c r="M199" s="19"/>
      <c r="N199" s="3" t="str">
        <f>HYPERLINK("https://www.stromypodkontrolou.cz/map/tree/eb9fcfc1-f6fa-405f-85c7-690b2fb79ecd/2d7b70f2-a823-4e96-8b9a-d0724c5497c9")</f>
        <v>https://www.stromypodkontrolou.cz/map/tree/eb9fcfc1-f6fa-405f-85c7-690b2fb79ecd/2d7b70f2-a823-4e96-8b9a-d0724c5497c9</v>
      </c>
      <c r="O199" s="3" t="str">
        <f>HYPERLINK("https://www.mapy.cz?st=search&amp;fr=49.67824926 18.66849690")</f>
        <v>https://www.mapy.cz?st=search&amp;fr=49.67824926 18.66849690</v>
      </c>
    </row>
    <row r="200" spans="1:15" ht="120">
      <c r="A200" s="10">
        <v>159</v>
      </c>
      <c r="B200" s="3" t="s">
        <v>13</v>
      </c>
      <c r="C200" s="3" t="s">
        <v>396</v>
      </c>
      <c r="D200" s="4">
        <v>112</v>
      </c>
      <c r="E200" s="5" t="s">
        <v>40</v>
      </c>
      <c r="F200" s="3" t="s">
        <v>41</v>
      </c>
      <c r="G200" s="4" t="s">
        <v>56</v>
      </c>
      <c r="H200" s="4" t="s">
        <v>178</v>
      </c>
      <c r="I200" s="4" t="s">
        <v>17</v>
      </c>
      <c r="J200" s="3" t="s">
        <v>75</v>
      </c>
      <c r="K200" s="3" t="s">
        <v>38</v>
      </c>
      <c r="L200" s="4" t="s">
        <v>52</v>
      </c>
      <c r="M200" s="19"/>
      <c r="N200" s="3" t="str">
        <f>HYPERLINK("https://www.stromypodkontrolou.cz/map/tree/eb9fcfc1-f6fa-405f-85c7-690b2fb79ecd/e8816f3b-69b0-4ebb-ba82-f934a7c08d11")</f>
        <v>https://www.stromypodkontrolou.cz/map/tree/eb9fcfc1-f6fa-405f-85c7-690b2fb79ecd/e8816f3b-69b0-4ebb-ba82-f934a7c08d11</v>
      </c>
      <c r="O200" s="3" t="str">
        <f>HYPERLINK("https://www.mapy.cz?st=search&amp;fr=49.66694471 18.68116434")</f>
        <v>https://www.mapy.cz?st=search&amp;fr=49.66694471 18.68116434</v>
      </c>
    </row>
    <row r="201" spans="1:15" ht="36">
      <c r="A201" s="16">
        <v>160</v>
      </c>
      <c r="B201" s="13" t="s">
        <v>13</v>
      </c>
      <c r="C201" s="13" t="s">
        <v>396</v>
      </c>
      <c r="D201" s="18">
        <v>119</v>
      </c>
      <c r="E201" s="15" t="s">
        <v>40</v>
      </c>
      <c r="F201" s="13" t="s">
        <v>41</v>
      </c>
      <c r="G201" s="18" t="s">
        <v>200</v>
      </c>
      <c r="H201" s="18" t="s">
        <v>62</v>
      </c>
      <c r="I201" s="18" t="s">
        <v>87</v>
      </c>
      <c r="J201" s="13" t="s">
        <v>397</v>
      </c>
      <c r="K201" s="3" t="s">
        <v>89</v>
      </c>
      <c r="L201" s="4" t="s">
        <v>398</v>
      </c>
      <c r="M201" s="19"/>
      <c r="N201" s="13" t="str">
        <f>HYPERLINK("https://www.stromypodkontrolou.cz/map/tree/eb9fcfc1-f6fa-405f-85c7-690b2fb79ecd/759b2605-fddf-46dd-91ff-619e80baf410")</f>
        <v>https://www.stromypodkontrolou.cz/map/tree/eb9fcfc1-f6fa-405f-85c7-690b2fb79ecd/759b2605-fddf-46dd-91ff-619e80baf410</v>
      </c>
      <c r="O201" s="13" t="str">
        <f>HYPERLINK("https://www.mapy.cz?st=search&amp;fr=49.66735083 18.68072178")</f>
        <v>https://www.mapy.cz?st=search&amp;fr=49.66735083 18.68072178</v>
      </c>
    </row>
    <row r="202" spans="1:15" ht="12.75">
      <c r="A202" s="16"/>
      <c r="B202" s="13"/>
      <c r="C202" s="13"/>
      <c r="D202" s="18"/>
      <c r="E202" s="15"/>
      <c r="F202" s="13"/>
      <c r="G202" s="18"/>
      <c r="H202" s="18"/>
      <c r="I202" s="18"/>
      <c r="J202" s="13"/>
      <c r="K202" s="3" t="s">
        <v>38</v>
      </c>
      <c r="L202" s="4" t="s">
        <v>108</v>
      </c>
      <c r="M202" s="19"/>
      <c r="N202" s="13"/>
      <c r="O202" s="13"/>
    </row>
    <row r="203" spans="1:15" ht="120">
      <c r="A203" s="10">
        <v>161</v>
      </c>
      <c r="B203" s="3" t="s">
        <v>13</v>
      </c>
      <c r="C203" s="3" t="s">
        <v>396</v>
      </c>
      <c r="D203" s="4">
        <v>125</v>
      </c>
      <c r="E203" s="5" t="s">
        <v>215</v>
      </c>
      <c r="F203" s="3" t="s">
        <v>216</v>
      </c>
      <c r="G203" s="4" t="s">
        <v>87</v>
      </c>
      <c r="H203" s="4" t="s">
        <v>132</v>
      </c>
      <c r="I203" s="4" t="s">
        <v>20</v>
      </c>
      <c r="J203" s="3"/>
      <c r="K203" s="3" t="s">
        <v>23</v>
      </c>
      <c r="L203" s="4" t="s">
        <v>118</v>
      </c>
      <c r="M203" s="19"/>
      <c r="N203" s="3" t="str">
        <f>HYPERLINK("https://www.stromypodkontrolou.cz/map/tree/eb9fcfc1-f6fa-405f-85c7-690b2fb79ecd/65a4ba18-bb08-4fac-88ba-9d297a9cfdfc")</f>
        <v>https://www.stromypodkontrolou.cz/map/tree/eb9fcfc1-f6fa-405f-85c7-690b2fb79ecd/65a4ba18-bb08-4fac-88ba-9d297a9cfdfc</v>
      </c>
      <c r="O203" s="3" t="str">
        <f>HYPERLINK("https://www.mapy.cz?st=search&amp;fr=49.66817540 18.67994606")</f>
        <v>https://www.mapy.cz?st=search&amp;fr=49.66817540 18.67994606</v>
      </c>
    </row>
    <row r="204" spans="1:15" ht="120">
      <c r="A204" s="10">
        <v>162</v>
      </c>
      <c r="B204" s="3" t="s">
        <v>13</v>
      </c>
      <c r="C204" s="3" t="s">
        <v>396</v>
      </c>
      <c r="D204" s="4">
        <v>127</v>
      </c>
      <c r="E204" s="5" t="s">
        <v>215</v>
      </c>
      <c r="F204" s="3" t="s">
        <v>216</v>
      </c>
      <c r="G204" s="4" t="s">
        <v>17</v>
      </c>
      <c r="H204" s="4" t="s">
        <v>213</v>
      </c>
      <c r="I204" s="4" t="s">
        <v>20</v>
      </c>
      <c r="J204" s="3"/>
      <c r="K204" s="3" t="s">
        <v>23</v>
      </c>
      <c r="L204" s="4" t="s">
        <v>118</v>
      </c>
      <c r="M204" s="19"/>
      <c r="N204" s="3" t="str">
        <f>HYPERLINK("https://www.stromypodkontrolou.cz/map/tree/eb9fcfc1-f6fa-405f-85c7-690b2fb79ecd/849b3305-0179-4b1f-a13f-a9ef1ffca67f")</f>
        <v>https://www.stromypodkontrolou.cz/map/tree/eb9fcfc1-f6fa-405f-85c7-690b2fb79ecd/849b3305-0179-4b1f-a13f-a9ef1ffca67f</v>
      </c>
      <c r="O204" s="3" t="str">
        <f>HYPERLINK("https://www.mapy.cz?st=search&amp;fr=49.66797229 18.68016801")</f>
        <v>https://www.mapy.cz?st=search&amp;fr=49.66797229 18.68016801</v>
      </c>
    </row>
    <row r="205" spans="1:15" ht="120">
      <c r="A205" s="10">
        <v>163</v>
      </c>
      <c r="B205" s="3" t="s">
        <v>13</v>
      </c>
      <c r="C205" s="3" t="s">
        <v>396</v>
      </c>
      <c r="D205" s="4">
        <v>129</v>
      </c>
      <c r="E205" s="5" t="s">
        <v>215</v>
      </c>
      <c r="F205" s="3" t="s">
        <v>216</v>
      </c>
      <c r="G205" s="4" t="s">
        <v>87</v>
      </c>
      <c r="H205" s="4" t="s">
        <v>132</v>
      </c>
      <c r="I205" s="4" t="s">
        <v>20</v>
      </c>
      <c r="J205" s="3" t="s">
        <v>399</v>
      </c>
      <c r="K205" s="3" t="s">
        <v>23</v>
      </c>
      <c r="L205" s="4" t="s">
        <v>118</v>
      </c>
      <c r="M205" s="19"/>
      <c r="N205" s="3" t="str">
        <f>HYPERLINK("https://www.stromypodkontrolou.cz/map/tree/eb9fcfc1-f6fa-405f-85c7-690b2fb79ecd/c8500f59-a85a-4eac-9840-f0fb3be89357")</f>
        <v>https://www.stromypodkontrolou.cz/map/tree/eb9fcfc1-f6fa-405f-85c7-690b2fb79ecd/c8500f59-a85a-4eac-9840-f0fb3be89357</v>
      </c>
      <c r="O205" s="3" t="str">
        <f>HYPERLINK("https://www.mapy.cz?st=search&amp;fr=49.66786531 18.68027798")</f>
        <v>https://www.mapy.cz?st=search&amp;fr=49.66786531 18.68027798</v>
      </c>
    </row>
    <row r="206" spans="1:15" ht="36">
      <c r="A206" s="16">
        <v>164</v>
      </c>
      <c r="B206" s="13" t="s">
        <v>13</v>
      </c>
      <c r="C206" s="13" t="s">
        <v>396</v>
      </c>
      <c r="D206" s="18">
        <v>132</v>
      </c>
      <c r="E206" s="15" t="s">
        <v>215</v>
      </c>
      <c r="F206" s="13" t="s">
        <v>216</v>
      </c>
      <c r="G206" s="18" t="s">
        <v>99</v>
      </c>
      <c r="H206" s="18" t="s">
        <v>231</v>
      </c>
      <c r="I206" s="18" t="s">
        <v>20</v>
      </c>
      <c r="J206" s="13" t="s">
        <v>400</v>
      </c>
      <c r="K206" s="3" t="s">
        <v>36</v>
      </c>
      <c r="L206" s="4" t="s">
        <v>304</v>
      </c>
      <c r="M206" s="19"/>
      <c r="N206" s="13" t="str">
        <f>HYPERLINK("https://www.stromypodkontrolou.cz/map/tree/eb9fcfc1-f6fa-405f-85c7-690b2fb79ecd/0abee16d-fe86-445a-9961-39e345873760")</f>
        <v>https://www.stromypodkontrolou.cz/map/tree/eb9fcfc1-f6fa-405f-85c7-690b2fb79ecd/0abee16d-fe86-445a-9961-39e345873760</v>
      </c>
      <c r="O206" s="13" t="str">
        <f>HYPERLINK("https://www.mapy.cz?st=search&amp;fr=49.66743957 18.68071753")</f>
        <v>https://www.mapy.cz?st=search&amp;fr=49.66743957 18.68071753</v>
      </c>
    </row>
    <row r="207" spans="1:15" ht="12.75">
      <c r="A207" s="16"/>
      <c r="B207" s="13"/>
      <c r="C207" s="13"/>
      <c r="D207" s="18"/>
      <c r="E207" s="15"/>
      <c r="F207" s="13"/>
      <c r="G207" s="18"/>
      <c r="H207" s="18"/>
      <c r="I207" s="18"/>
      <c r="J207" s="13"/>
      <c r="K207" s="3" t="s">
        <v>23</v>
      </c>
      <c r="L207" s="4" t="s">
        <v>118</v>
      </c>
      <c r="M207" s="19"/>
      <c r="N207" s="13"/>
      <c r="O207" s="13"/>
    </row>
    <row r="208" spans="1:15" ht="120">
      <c r="A208" s="10">
        <v>165</v>
      </c>
      <c r="B208" s="3" t="s">
        <v>13</v>
      </c>
      <c r="C208" s="3" t="s">
        <v>396</v>
      </c>
      <c r="D208" s="4">
        <v>133</v>
      </c>
      <c r="E208" s="5" t="s">
        <v>215</v>
      </c>
      <c r="F208" s="3" t="s">
        <v>216</v>
      </c>
      <c r="G208" s="4" t="s">
        <v>87</v>
      </c>
      <c r="H208" s="4" t="s">
        <v>231</v>
      </c>
      <c r="I208" s="4" t="s">
        <v>20</v>
      </c>
      <c r="J208" s="3" t="s">
        <v>401</v>
      </c>
      <c r="K208" s="3" t="s">
        <v>23</v>
      </c>
      <c r="L208" s="4" t="s">
        <v>118</v>
      </c>
      <c r="M208" s="19"/>
      <c r="N208" s="3" t="str">
        <f>HYPERLINK("https://www.stromypodkontrolou.cz/map/tree/eb9fcfc1-f6fa-405f-85c7-690b2fb79ecd/7cbc8a82-5509-4063-9a19-33db8cdd9e09")</f>
        <v>https://www.stromypodkontrolou.cz/map/tree/eb9fcfc1-f6fa-405f-85c7-690b2fb79ecd/7cbc8a82-5509-4063-9a19-33db8cdd9e09</v>
      </c>
      <c r="O208" s="3" t="str">
        <f>HYPERLINK("https://www.mapy.cz?st=search&amp;fr=49.66739161 18.68077084")</f>
        <v>https://www.mapy.cz?st=search&amp;fr=49.66739161 18.68077084</v>
      </c>
    </row>
    <row r="209" spans="1:15" ht="36">
      <c r="A209" s="16">
        <v>166</v>
      </c>
      <c r="B209" s="13" t="s">
        <v>13</v>
      </c>
      <c r="C209" s="13" t="s">
        <v>396</v>
      </c>
      <c r="D209" s="18">
        <v>135</v>
      </c>
      <c r="E209" s="15" t="s">
        <v>215</v>
      </c>
      <c r="F209" s="13" t="s">
        <v>216</v>
      </c>
      <c r="G209" s="18" t="s">
        <v>99</v>
      </c>
      <c r="H209" s="18" t="s">
        <v>327</v>
      </c>
      <c r="I209" s="18" t="s">
        <v>50</v>
      </c>
      <c r="J209" s="13"/>
      <c r="K209" s="3" t="s">
        <v>36</v>
      </c>
      <c r="L209" s="4" t="s">
        <v>304</v>
      </c>
      <c r="M209" s="19"/>
      <c r="N209" s="13" t="str">
        <f>HYPERLINK("https://www.stromypodkontrolou.cz/map/tree/eb9fcfc1-f6fa-405f-85c7-690b2fb79ecd/5043b318-057f-490f-a73a-4ecc2bf83d50")</f>
        <v>https://www.stromypodkontrolou.cz/map/tree/eb9fcfc1-f6fa-405f-85c7-690b2fb79ecd/5043b318-057f-490f-a73a-4ecc2bf83d50</v>
      </c>
      <c r="O209" s="13" t="str">
        <f>HYPERLINK("https://www.mapy.cz?st=search&amp;fr=49.66725208 18.68091836")</f>
        <v>https://www.mapy.cz?st=search&amp;fr=49.66725208 18.68091836</v>
      </c>
    </row>
    <row r="210" spans="1:15" ht="12.75">
      <c r="A210" s="16"/>
      <c r="B210" s="13"/>
      <c r="C210" s="13"/>
      <c r="D210" s="18"/>
      <c r="E210" s="15"/>
      <c r="F210" s="13"/>
      <c r="G210" s="18"/>
      <c r="H210" s="18"/>
      <c r="I210" s="18"/>
      <c r="J210" s="13"/>
      <c r="K210" s="3" t="s">
        <v>23</v>
      </c>
      <c r="L210" s="4" t="s">
        <v>118</v>
      </c>
      <c r="M210" s="19"/>
      <c r="N210" s="13"/>
      <c r="O210" s="13"/>
    </row>
    <row r="211" spans="1:15" ht="12.75" customHeight="1">
      <c r="A211" s="16">
        <v>167</v>
      </c>
      <c r="B211" s="13" t="s">
        <v>13</v>
      </c>
      <c r="C211" s="13" t="s">
        <v>396</v>
      </c>
      <c r="D211" s="18">
        <v>136</v>
      </c>
      <c r="E211" s="15" t="s">
        <v>215</v>
      </c>
      <c r="F211" s="13" t="s">
        <v>216</v>
      </c>
      <c r="G211" s="18" t="s">
        <v>253</v>
      </c>
      <c r="H211" s="18" t="s">
        <v>69</v>
      </c>
      <c r="I211" s="18" t="s">
        <v>50</v>
      </c>
      <c r="J211" s="13"/>
      <c r="K211" s="3" t="s">
        <v>23</v>
      </c>
      <c r="L211" s="4" t="s">
        <v>118</v>
      </c>
      <c r="M211" s="19"/>
      <c r="N211" s="13" t="str">
        <f>HYPERLINK("https://www.stromypodkontrolou.cz/map/tree/eb9fcfc1-f6fa-405f-85c7-690b2fb79ecd/403fcb4c-3a45-4ed6-8d43-e2412d502464")</f>
        <v>https://www.stromypodkontrolou.cz/map/tree/eb9fcfc1-f6fa-405f-85c7-690b2fb79ecd/403fcb4c-3a45-4ed6-8d43-e2412d502464</v>
      </c>
      <c r="O211" s="13" t="str">
        <f>HYPERLINK("https://www.mapy.cz?st=search&amp;fr=49.66720108 18.68097435")</f>
        <v>https://www.mapy.cz?st=search&amp;fr=49.66720108 18.68097435</v>
      </c>
    </row>
    <row r="212" spans="1:15" ht="36">
      <c r="A212" s="16"/>
      <c r="B212" s="13"/>
      <c r="C212" s="13"/>
      <c r="D212" s="18"/>
      <c r="E212" s="15"/>
      <c r="F212" s="13"/>
      <c r="G212" s="18"/>
      <c r="H212" s="18"/>
      <c r="I212" s="18"/>
      <c r="J212" s="13"/>
      <c r="K212" s="3" t="s">
        <v>36</v>
      </c>
      <c r="L212" s="4" t="s">
        <v>304</v>
      </c>
      <c r="M212" s="19"/>
      <c r="N212" s="13"/>
      <c r="O212" s="13"/>
    </row>
    <row r="213" spans="1:15" ht="120">
      <c r="A213" s="10">
        <v>168</v>
      </c>
      <c r="B213" s="3" t="s">
        <v>13</v>
      </c>
      <c r="C213" s="3" t="s">
        <v>396</v>
      </c>
      <c r="D213" s="4">
        <v>184</v>
      </c>
      <c r="E213" s="5" t="s">
        <v>215</v>
      </c>
      <c r="F213" s="3" t="s">
        <v>216</v>
      </c>
      <c r="G213" s="4" t="s">
        <v>99</v>
      </c>
      <c r="H213" s="4" t="s">
        <v>231</v>
      </c>
      <c r="I213" s="4" t="s">
        <v>50</v>
      </c>
      <c r="J213" s="3"/>
      <c r="K213" s="3" t="s">
        <v>23</v>
      </c>
      <c r="L213" s="4" t="s">
        <v>118</v>
      </c>
      <c r="M213" s="19"/>
      <c r="N213" s="3" t="str">
        <f>HYPERLINK("https://www.stromypodkontrolou.cz/map/tree/eb9fcfc1-f6fa-405f-85c7-690b2fb79ecd/33ccea6c-2fca-4f78-88ae-8945ba3d8807")</f>
        <v>https://www.stromypodkontrolou.cz/map/tree/eb9fcfc1-f6fa-405f-85c7-690b2fb79ecd/33ccea6c-2fca-4f78-88ae-8945ba3d8807</v>
      </c>
      <c r="O213" s="3" t="str">
        <f>HYPERLINK("https://www.mapy.cz?st=search&amp;fr=49.66740680 18.68067696")</f>
        <v>https://www.mapy.cz?st=search&amp;fr=49.66740680 18.68067696</v>
      </c>
    </row>
    <row r="214" spans="1:15" ht="120">
      <c r="A214" s="10">
        <v>169</v>
      </c>
      <c r="B214" s="3" t="s">
        <v>13</v>
      </c>
      <c r="C214" s="3" t="s">
        <v>396</v>
      </c>
      <c r="D214" s="4">
        <v>185</v>
      </c>
      <c r="E214" s="5" t="s">
        <v>215</v>
      </c>
      <c r="F214" s="3" t="s">
        <v>216</v>
      </c>
      <c r="G214" s="4" t="s">
        <v>359</v>
      </c>
      <c r="H214" s="4" t="s">
        <v>327</v>
      </c>
      <c r="I214" s="4" t="s">
        <v>50</v>
      </c>
      <c r="J214" s="3"/>
      <c r="K214" s="3" t="s">
        <v>23</v>
      </c>
      <c r="L214" s="4" t="s">
        <v>118</v>
      </c>
      <c r="M214" s="19"/>
      <c r="N214" s="3" t="str">
        <f>HYPERLINK("https://www.stromypodkontrolou.cz/map/tree/eb9fcfc1-f6fa-405f-85c7-690b2fb79ecd/05ac24d7-5303-4a3a-b72d-00aeab1ad85e")</f>
        <v>https://www.stromypodkontrolou.cz/map/tree/eb9fcfc1-f6fa-405f-85c7-690b2fb79ecd/05ac24d7-5303-4a3a-b72d-00aeab1ad85e</v>
      </c>
      <c r="O214" s="3" t="str">
        <f>HYPERLINK("https://www.mapy.cz?st=search&amp;fr=49.66745888 18.68062332")</f>
        <v>https://www.mapy.cz?st=search&amp;fr=49.66745888 18.68062332</v>
      </c>
    </row>
    <row r="215" spans="1:15" ht="120">
      <c r="A215" s="10">
        <v>170</v>
      </c>
      <c r="B215" s="3" t="s">
        <v>13</v>
      </c>
      <c r="C215" s="3" t="s">
        <v>402</v>
      </c>
      <c r="D215" s="4">
        <v>95</v>
      </c>
      <c r="E215" s="5" t="s">
        <v>175</v>
      </c>
      <c r="F215" s="3" t="s">
        <v>176</v>
      </c>
      <c r="G215" s="4" t="s">
        <v>200</v>
      </c>
      <c r="H215" s="4" t="s">
        <v>62</v>
      </c>
      <c r="I215" s="4" t="s">
        <v>87</v>
      </c>
      <c r="J215" s="3" t="s">
        <v>45</v>
      </c>
      <c r="K215" s="3" t="s">
        <v>71</v>
      </c>
      <c r="L215" s="4" t="s">
        <v>403</v>
      </c>
      <c r="M215" s="19"/>
      <c r="N215" s="3" t="str">
        <f>HYPERLINK("https://www.stromypodkontrolou.cz/map/tree/eb9fcfc1-f6fa-405f-85c7-690b2fb79ecd/90473ee4-1586-44ed-89bf-266e15380092")</f>
        <v>https://www.stromypodkontrolou.cz/map/tree/eb9fcfc1-f6fa-405f-85c7-690b2fb79ecd/90473ee4-1586-44ed-89bf-266e15380092</v>
      </c>
      <c r="O215" s="3" t="str">
        <f>HYPERLINK("https://www.mapy.cz?st=search&amp;fr=49.66807573 18.67984944")</f>
        <v>https://www.mapy.cz?st=search&amp;fr=49.66807573 18.67984944</v>
      </c>
    </row>
    <row r="216" spans="1:15" ht="120">
      <c r="A216" s="10">
        <v>171</v>
      </c>
      <c r="B216" s="3" t="s">
        <v>13</v>
      </c>
      <c r="C216" s="3" t="s">
        <v>402</v>
      </c>
      <c r="D216" s="4">
        <v>121</v>
      </c>
      <c r="E216" s="5" t="s">
        <v>115</v>
      </c>
      <c r="F216" s="3" t="s">
        <v>116</v>
      </c>
      <c r="G216" s="4" t="s">
        <v>17</v>
      </c>
      <c r="H216" s="4" t="s">
        <v>213</v>
      </c>
      <c r="I216" s="4" t="s">
        <v>20</v>
      </c>
      <c r="J216" s="3" t="s">
        <v>404</v>
      </c>
      <c r="K216" s="3" t="s">
        <v>23</v>
      </c>
      <c r="L216" s="4" t="s">
        <v>118</v>
      </c>
      <c r="M216" s="19"/>
      <c r="N216" s="3" t="str">
        <f>HYPERLINK("https://www.stromypodkontrolou.cz/map/tree/eb9fcfc1-f6fa-405f-85c7-690b2fb79ecd/377d7497-f20f-43d2-b0ff-854ac98c9d46")</f>
        <v>https://www.stromypodkontrolou.cz/map/tree/eb9fcfc1-f6fa-405f-85c7-690b2fb79ecd/377d7497-f20f-43d2-b0ff-854ac98c9d46</v>
      </c>
      <c r="O216" s="3" t="str">
        <f>HYPERLINK("https://www.mapy.cz?st=search&amp;fr=49.66738228 18.68036884")</f>
        <v>https://www.mapy.cz?st=search&amp;fr=49.66738228 18.68036884</v>
      </c>
    </row>
    <row r="217" spans="1:15" ht="120">
      <c r="A217" s="10">
        <v>172</v>
      </c>
      <c r="B217" s="3" t="s">
        <v>13</v>
      </c>
      <c r="C217" s="3" t="s">
        <v>402</v>
      </c>
      <c r="D217" s="4">
        <v>131</v>
      </c>
      <c r="E217" s="5" t="s">
        <v>76</v>
      </c>
      <c r="F217" s="3" t="s">
        <v>77</v>
      </c>
      <c r="G217" s="4" t="s">
        <v>27</v>
      </c>
      <c r="H217" s="4" t="s">
        <v>26</v>
      </c>
      <c r="I217" s="4" t="s">
        <v>22</v>
      </c>
      <c r="J217" s="3"/>
      <c r="K217" s="3" t="s">
        <v>23</v>
      </c>
      <c r="L217" s="4" t="s">
        <v>24</v>
      </c>
      <c r="M217" s="19"/>
      <c r="N217" s="3" t="str">
        <f>HYPERLINK("https://www.stromypodkontrolou.cz/map/tree/eb9fcfc1-f6fa-405f-85c7-690b2fb79ecd/4cb02c05-65d3-4cb3-aefe-4a268db72af2")</f>
        <v>https://www.stromypodkontrolou.cz/map/tree/eb9fcfc1-f6fa-405f-85c7-690b2fb79ecd/4cb02c05-65d3-4cb3-aefe-4a268db72af2</v>
      </c>
      <c r="O217" s="3" t="str">
        <f>HYPERLINK("https://www.mapy.cz?st=search&amp;fr=49.66491747 18.68281761")</f>
        <v>https://www.mapy.cz?st=search&amp;fr=49.66491747 18.68281761</v>
      </c>
    </row>
    <row r="218" spans="1:15" ht="120">
      <c r="A218" s="10">
        <v>173</v>
      </c>
      <c r="B218" s="3" t="s">
        <v>13</v>
      </c>
      <c r="C218" s="3" t="s">
        <v>402</v>
      </c>
      <c r="D218" s="4">
        <v>132</v>
      </c>
      <c r="E218" s="5" t="s">
        <v>76</v>
      </c>
      <c r="F218" s="3" t="s">
        <v>77</v>
      </c>
      <c r="G218" s="4" t="s">
        <v>27</v>
      </c>
      <c r="H218" s="4" t="s">
        <v>26</v>
      </c>
      <c r="I218" s="4" t="s">
        <v>22</v>
      </c>
      <c r="J218" s="3"/>
      <c r="K218" s="3" t="s">
        <v>23</v>
      </c>
      <c r="L218" s="4" t="s">
        <v>24</v>
      </c>
      <c r="M218" s="19"/>
      <c r="N218" s="3" t="str">
        <f>HYPERLINK("https://www.stromypodkontrolou.cz/map/tree/eb9fcfc1-f6fa-405f-85c7-690b2fb79ecd/b9d8eef0-851d-41a6-a326-bae57ae1f48e")</f>
        <v>https://www.stromypodkontrolou.cz/map/tree/eb9fcfc1-f6fa-405f-85c7-690b2fb79ecd/b9d8eef0-851d-41a6-a326-bae57ae1f48e</v>
      </c>
      <c r="O218" s="3" t="str">
        <f>HYPERLINK("https://www.mapy.cz?st=search&amp;fr=49.66482285 18.68289305")</f>
        <v>https://www.mapy.cz?st=search&amp;fr=49.66482285 18.68289305</v>
      </c>
    </row>
    <row r="219" spans="1:15" ht="120">
      <c r="A219" s="10">
        <v>174</v>
      </c>
      <c r="B219" s="3" t="s">
        <v>13</v>
      </c>
      <c r="C219" s="3" t="s">
        <v>405</v>
      </c>
      <c r="D219" s="4">
        <v>59</v>
      </c>
      <c r="E219" s="5" t="s">
        <v>115</v>
      </c>
      <c r="F219" s="3" t="s">
        <v>116</v>
      </c>
      <c r="G219" s="4" t="s">
        <v>68</v>
      </c>
      <c r="H219" s="4" t="s">
        <v>79</v>
      </c>
      <c r="I219" s="4" t="s">
        <v>25</v>
      </c>
      <c r="J219" s="3" t="s">
        <v>406</v>
      </c>
      <c r="K219" s="3" t="s">
        <v>71</v>
      </c>
      <c r="L219" s="4" t="s">
        <v>407</v>
      </c>
      <c r="M219" s="19"/>
      <c r="N219" s="3" t="str">
        <f>HYPERLINK("https://www.stromypodkontrolou.cz/map/tree/eb9fcfc1-f6fa-405f-85c7-690b2fb79ecd/5778b239-e1af-4afe-92d5-be358a3fc0c2")</f>
        <v>https://www.stromypodkontrolou.cz/map/tree/eb9fcfc1-f6fa-405f-85c7-690b2fb79ecd/5778b239-e1af-4afe-92d5-be358a3fc0c2</v>
      </c>
      <c r="O219" s="3" t="str">
        <f>HYPERLINK("https://www.mapy.cz?st=search&amp;fr=49.66264812 18.68408316")</f>
        <v>https://www.mapy.cz?st=search&amp;fr=49.66264812 18.68408316</v>
      </c>
    </row>
    <row r="220" spans="1:15" ht="120">
      <c r="A220" s="10">
        <v>175</v>
      </c>
      <c r="B220" s="3" t="s">
        <v>13</v>
      </c>
      <c r="C220" s="3" t="s">
        <v>405</v>
      </c>
      <c r="D220" s="4">
        <v>60</v>
      </c>
      <c r="E220" s="5" t="s">
        <v>115</v>
      </c>
      <c r="F220" s="3" t="s">
        <v>116</v>
      </c>
      <c r="G220" s="4" t="s">
        <v>200</v>
      </c>
      <c r="H220" s="4" t="s">
        <v>97</v>
      </c>
      <c r="I220" s="4" t="s">
        <v>99</v>
      </c>
      <c r="J220" s="3"/>
      <c r="K220" s="3" t="s">
        <v>89</v>
      </c>
      <c r="L220" s="4" t="s">
        <v>60</v>
      </c>
      <c r="M220" s="19"/>
      <c r="N220" s="3" t="str">
        <f>HYPERLINK("https://www.stromypodkontrolou.cz/map/tree/eb9fcfc1-f6fa-405f-85c7-690b2fb79ecd/a76f684c-ef7c-4b10-bb40-6d73167fa2cf")</f>
        <v>https://www.stromypodkontrolou.cz/map/tree/eb9fcfc1-f6fa-405f-85c7-690b2fb79ecd/a76f684c-ef7c-4b10-bb40-6d73167fa2cf</v>
      </c>
      <c r="O220" s="3" t="str">
        <f>HYPERLINK("https://www.mapy.cz?st=search&amp;fr=49.66263362 18.68401176")</f>
        <v>https://www.mapy.cz?st=search&amp;fr=49.66263362 18.68401176</v>
      </c>
    </row>
    <row r="221" spans="1:15" ht="120">
      <c r="A221" s="10">
        <v>176</v>
      </c>
      <c r="B221" s="3" t="s">
        <v>13</v>
      </c>
      <c r="C221" s="3" t="s">
        <v>408</v>
      </c>
      <c r="D221" s="4">
        <v>5</v>
      </c>
      <c r="E221" s="5" t="s">
        <v>175</v>
      </c>
      <c r="F221" s="3" t="s">
        <v>176</v>
      </c>
      <c r="G221" s="4" t="s">
        <v>367</v>
      </c>
      <c r="H221" s="4" t="s">
        <v>69</v>
      </c>
      <c r="I221" s="4" t="s">
        <v>17</v>
      </c>
      <c r="J221" s="3"/>
      <c r="K221" s="3" t="s">
        <v>38</v>
      </c>
      <c r="L221" s="4" t="s">
        <v>73</v>
      </c>
      <c r="M221" s="19"/>
      <c r="N221" s="3" t="str">
        <f>HYPERLINK("https://www.stromypodkontrolou.cz/map/tree/eb9fcfc1-f6fa-405f-85c7-690b2fb79ecd/2c540e2f-581c-4628-b59b-7376747a7903")</f>
        <v>https://www.stromypodkontrolou.cz/map/tree/eb9fcfc1-f6fa-405f-85c7-690b2fb79ecd/2c540e2f-581c-4628-b59b-7376747a7903</v>
      </c>
      <c r="O221" s="3" t="str">
        <f>HYPERLINK("https://www.mapy.cz?st=search&amp;fr=49.68515265 18.63199649")</f>
        <v>https://www.mapy.cz?st=search&amp;fr=49.68515265 18.63199649</v>
      </c>
    </row>
    <row r="222" spans="1:15" ht="24">
      <c r="A222" s="16">
        <v>177</v>
      </c>
      <c r="B222" s="13" t="s">
        <v>13</v>
      </c>
      <c r="C222" s="13" t="s">
        <v>409</v>
      </c>
      <c r="D222" s="18">
        <v>28</v>
      </c>
      <c r="E222" s="15" t="s">
        <v>40</v>
      </c>
      <c r="F222" s="13" t="s">
        <v>41</v>
      </c>
      <c r="G222" s="18" t="s">
        <v>105</v>
      </c>
      <c r="H222" s="18" t="s">
        <v>97</v>
      </c>
      <c r="I222" s="18" t="s">
        <v>17</v>
      </c>
      <c r="J222" s="13" t="s">
        <v>410</v>
      </c>
      <c r="K222" s="3" t="s">
        <v>197</v>
      </c>
      <c r="L222" s="4" t="s">
        <v>411</v>
      </c>
      <c r="M222" s="19"/>
      <c r="N222" s="13" t="str">
        <f>HYPERLINK("https://www.stromypodkontrolou.cz/map/tree/eb9fcfc1-f6fa-405f-85c7-690b2fb79ecd/c57e4346-55cb-4803-ae68-c62257fe42e6")</f>
        <v>https://www.stromypodkontrolou.cz/map/tree/eb9fcfc1-f6fa-405f-85c7-690b2fb79ecd/c57e4346-55cb-4803-ae68-c62257fe42e6</v>
      </c>
      <c r="O222" s="13" t="str">
        <f>HYPERLINK("https://www.mapy.cz?st=search&amp;fr=49.67588825 18.67402410")</f>
        <v>https://www.mapy.cz?st=search&amp;fr=49.67588825 18.67402410</v>
      </c>
    </row>
    <row r="223" spans="1:15" ht="12.75">
      <c r="A223" s="16"/>
      <c r="B223" s="13"/>
      <c r="C223" s="13"/>
      <c r="D223" s="18"/>
      <c r="E223" s="15"/>
      <c r="F223" s="13"/>
      <c r="G223" s="18"/>
      <c r="H223" s="18"/>
      <c r="I223" s="18"/>
      <c r="J223" s="13"/>
      <c r="K223" s="3" t="s">
        <v>129</v>
      </c>
      <c r="L223" s="4" t="s">
        <v>53</v>
      </c>
      <c r="M223" s="19"/>
      <c r="N223" s="13"/>
      <c r="O223" s="13"/>
    </row>
    <row r="224" spans="1:15" ht="24">
      <c r="A224" s="16">
        <v>178</v>
      </c>
      <c r="B224" s="13" t="s">
        <v>13</v>
      </c>
      <c r="C224" s="13" t="s">
        <v>409</v>
      </c>
      <c r="D224" s="18">
        <v>141</v>
      </c>
      <c r="E224" s="15" t="s">
        <v>40</v>
      </c>
      <c r="F224" s="13" t="s">
        <v>41</v>
      </c>
      <c r="G224" s="18" t="s">
        <v>384</v>
      </c>
      <c r="H224" s="18" t="s">
        <v>97</v>
      </c>
      <c r="I224" s="18" t="s">
        <v>17</v>
      </c>
      <c r="J224" s="13" t="s">
        <v>412</v>
      </c>
      <c r="K224" s="3" t="s">
        <v>197</v>
      </c>
      <c r="L224" s="4" t="s">
        <v>411</v>
      </c>
      <c r="M224" s="19"/>
      <c r="N224" s="13" t="str">
        <f>HYPERLINK("https://www.stromypodkontrolou.cz/map/tree/eb9fcfc1-f6fa-405f-85c7-690b2fb79ecd/cf723d14-42b1-417a-8ae7-8685b52f15bb")</f>
        <v>https://www.stromypodkontrolou.cz/map/tree/eb9fcfc1-f6fa-405f-85c7-690b2fb79ecd/cf723d14-42b1-417a-8ae7-8685b52f15bb</v>
      </c>
      <c r="O224" s="13" t="str">
        <f>HYPERLINK("https://www.mapy.cz?st=search&amp;fr=49.67583764 18.67428440")</f>
        <v>https://www.mapy.cz?st=search&amp;fr=49.67583764 18.67428440</v>
      </c>
    </row>
    <row r="225" spans="1:15" ht="24">
      <c r="A225" s="16"/>
      <c r="B225" s="13"/>
      <c r="C225" s="13"/>
      <c r="D225" s="18"/>
      <c r="E225" s="15"/>
      <c r="F225" s="13"/>
      <c r="G225" s="18"/>
      <c r="H225" s="18"/>
      <c r="I225" s="18"/>
      <c r="J225" s="13"/>
      <c r="K225" s="3" t="s">
        <v>413</v>
      </c>
      <c r="L225" s="4" t="s">
        <v>414</v>
      </c>
      <c r="M225" s="19"/>
      <c r="N225" s="13"/>
      <c r="O225" s="13"/>
    </row>
    <row r="226" spans="1:15" ht="120">
      <c r="A226" s="10">
        <v>179</v>
      </c>
      <c r="B226" s="3" t="s">
        <v>13</v>
      </c>
      <c r="C226" s="3" t="s">
        <v>409</v>
      </c>
      <c r="D226" s="4">
        <v>186</v>
      </c>
      <c r="E226" s="5" t="s">
        <v>121</v>
      </c>
      <c r="F226" s="3" t="s">
        <v>122</v>
      </c>
      <c r="G226" s="4" t="s">
        <v>200</v>
      </c>
      <c r="H226" s="4" t="s">
        <v>49</v>
      </c>
      <c r="I226" s="4" t="s">
        <v>65</v>
      </c>
      <c r="J226" s="3" t="s">
        <v>415</v>
      </c>
      <c r="K226" s="3" t="s">
        <v>71</v>
      </c>
      <c r="L226" s="4" t="s">
        <v>407</v>
      </c>
      <c r="M226" s="19"/>
      <c r="N226" s="3" t="str">
        <f>HYPERLINK("https://www.stromypodkontrolou.cz/map/tree/eb9fcfc1-f6fa-405f-85c7-690b2fb79ecd/b371b3b7-0149-4f28-9896-d4dabaa9d25e")</f>
        <v>https://www.stromypodkontrolou.cz/map/tree/eb9fcfc1-f6fa-405f-85c7-690b2fb79ecd/b371b3b7-0149-4f28-9896-d4dabaa9d25e</v>
      </c>
      <c r="O226" s="3" t="str">
        <f>HYPERLINK("https://www.mapy.cz?st=search&amp;fr=49.67238188 18.67813489")</f>
        <v>https://www.mapy.cz?st=search&amp;fr=49.67238188 18.67813489</v>
      </c>
    </row>
    <row r="227" spans="1:15" ht="120">
      <c r="A227" s="10">
        <v>180</v>
      </c>
      <c r="B227" s="3" t="s">
        <v>13</v>
      </c>
      <c r="C227" s="3" t="s">
        <v>416</v>
      </c>
      <c r="D227" s="4">
        <v>17</v>
      </c>
      <c r="E227" s="5" t="s">
        <v>188</v>
      </c>
      <c r="F227" s="3" t="s">
        <v>189</v>
      </c>
      <c r="G227" s="4" t="s">
        <v>417</v>
      </c>
      <c r="H227" s="4" t="s">
        <v>231</v>
      </c>
      <c r="I227" s="4" t="s">
        <v>27</v>
      </c>
      <c r="J227" s="3" t="s">
        <v>75</v>
      </c>
      <c r="K227" s="3" t="s">
        <v>71</v>
      </c>
      <c r="L227" s="4" t="s">
        <v>418</v>
      </c>
      <c r="M227" s="19"/>
      <c r="N227" s="3" t="str">
        <f>HYPERLINK("https://www.stromypodkontrolou.cz/map/tree/eb9fcfc1-f6fa-405f-85c7-690b2fb79ecd/3e95fc31-21d0-4608-84b5-f9f69398d02b")</f>
        <v>https://www.stromypodkontrolou.cz/map/tree/eb9fcfc1-f6fa-405f-85c7-690b2fb79ecd/3e95fc31-21d0-4608-84b5-f9f69398d02b</v>
      </c>
      <c r="O227" s="3" t="str">
        <f>HYPERLINK("https://www.mapy.cz?st=search&amp;fr=49.66037612 18.67200873")</f>
        <v>https://www.mapy.cz?st=search&amp;fr=49.66037612 18.67200873</v>
      </c>
    </row>
    <row r="228" spans="1:15" ht="36">
      <c r="A228" s="16">
        <v>181</v>
      </c>
      <c r="B228" s="13" t="s">
        <v>13</v>
      </c>
      <c r="C228" s="13" t="s">
        <v>419</v>
      </c>
      <c r="D228" s="18">
        <v>7</v>
      </c>
      <c r="E228" s="15" t="s">
        <v>29</v>
      </c>
      <c r="F228" s="13" t="s">
        <v>30</v>
      </c>
      <c r="G228" s="18" t="s">
        <v>168</v>
      </c>
      <c r="H228" s="18" t="s">
        <v>231</v>
      </c>
      <c r="I228" s="18" t="s">
        <v>17</v>
      </c>
      <c r="J228" s="13"/>
      <c r="K228" s="3" t="s">
        <v>89</v>
      </c>
      <c r="L228" s="4" t="s">
        <v>328</v>
      </c>
      <c r="M228" s="19"/>
      <c r="N228" s="13" t="str">
        <f>HYPERLINK("https://www.stromypodkontrolou.cz/map/tree/eb9fcfc1-f6fa-405f-85c7-690b2fb79ecd/df15e1fc-764e-4ce2-b62b-39b77cc64c2a")</f>
        <v>https://www.stromypodkontrolou.cz/map/tree/eb9fcfc1-f6fa-405f-85c7-690b2fb79ecd/df15e1fc-764e-4ce2-b62b-39b77cc64c2a</v>
      </c>
      <c r="O228" s="13" t="str">
        <f>HYPERLINK("https://www.mapy.cz?st=search&amp;fr=49.67382647 18.67058076")</f>
        <v>https://www.mapy.cz?st=search&amp;fr=49.67382647 18.67058076</v>
      </c>
    </row>
    <row r="229" spans="1:15" ht="12.75">
      <c r="A229" s="16"/>
      <c r="B229" s="13"/>
      <c r="C229" s="13"/>
      <c r="D229" s="18"/>
      <c r="E229" s="15"/>
      <c r="F229" s="13"/>
      <c r="G229" s="18"/>
      <c r="H229" s="18"/>
      <c r="I229" s="18"/>
      <c r="J229" s="13"/>
      <c r="K229" s="3" t="s">
        <v>38</v>
      </c>
      <c r="L229" s="4" t="s">
        <v>142</v>
      </c>
      <c r="M229" s="19"/>
      <c r="N229" s="13"/>
      <c r="O229" s="13"/>
    </row>
    <row r="230" spans="1:15" ht="36">
      <c r="A230" s="16"/>
      <c r="B230" s="13"/>
      <c r="C230" s="13"/>
      <c r="D230" s="18"/>
      <c r="E230" s="15"/>
      <c r="F230" s="13"/>
      <c r="G230" s="18"/>
      <c r="H230" s="18"/>
      <c r="I230" s="18"/>
      <c r="J230" s="13"/>
      <c r="K230" s="3" t="s">
        <v>36</v>
      </c>
      <c r="L230" s="4" t="s">
        <v>46</v>
      </c>
      <c r="M230" s="19"/>
      <c r="N230" s="13"/>
      <c r="O230" s="13"/>
    </row>
    <row r="231" spans="1:15" ht="120">
      <c r="A231" s="10">
        <v>182</v>
      </c>
      <c r="B231" s="3" t="s">
        <v>13</v>
      </c>
      <c r="C231" s="3" t="s">
        <v>419</v>
      </c>
      <c r="D231" s="4">
        <v>49</v>
      </c>
      <c r="E231" s="5" t="s">
        <v>54</v>
      </c>
      <c r="F231" s="3" t="s">
        <v>55</v>
      </c>
      <c r="G231" s="4" t="s">
        <v>253</v>
      </c>
      <c r="H231" s="4" t="s">
        <v>111</v>
      </c>
      <c r="I231" s="4" t="s">
        <v>20</v>
      </c>
      <c r="J231" s="3" t="s">
        <v>420</v>
      </c>
      <c r="K231" s="3" t="s">
        <v>38</v>
      </c>
      <c r="L231" s="4" t="s">
        <v>114</v>
      </c>
      <c r="M231" s="19"/>
      <c r="N231" s="3" t="str">
        <f>HYPERLINK("https://www.stromypodkontrolou.cz/map/tree/eb9fcfc1-f6fa-405f-85c7-690b2fb79ecd/619c59fa-9012-4ad2-ac4c-35c8a7246691")</f>
        <v>https://www.stromypodkontrolou.cz/map/tree/eb9fcfc1-f6fa-405f-85c7-690b2fb79ecd/619c59fa-9012-4ad2-ac4c-35c8a7246691</v>
      </c>
      <c r="O231" s="3" t="str">
        <f>HYPERLINK("https://www.mapy.cz?st=search&amp;fr=49.67548788 18.67057016")</f>
        <v>https://www.mapy.cz?st=search&amp;fr=49.67548788 18.67057016</v>
      </c>
    </row>
    <row r="232" spans="1:15" ht="120">
      <c r="A232" s="10">
        <v>183</v>
      </c>
      <c r="B232" s="3" t="s">
        <v>13</v>
      </c>
      <c r="C232" s="3" t="s">
        <v>419</v>
      </c>
      <c r="D232" s="4">
        <v>56</v>
      </c>
      <c r="E232" s="5" t="s">
        <v>188</v>
      </c>
      <c r="F232" s="3" t="s">
        <v>189</v>
      </c>
      <c r="G232" s="4" t="s">
        <v>230</v>
      </c>
      <c r="H232" s="4" t="s">
        <v>69</v>
      </c>
      <c r="I232" s="4" t="s">
        <v>50</v>
      </c>
      <c r="J232" s="3" t="s">
        <v>421</v>
      </c>
      <c r="K232" s="3" t="s">
        <v>71</v>
      </c>
      <c r="L232" s="4" t="s">
        <v>191</v>
      </c>
      <c r="M232" s="19"/>
      <c r="N232" s="3" t="str">
        <f>HYPERLINK("https://www.stromypodkontrolou.cz/map/tree/eb9fcfc1-f6fa-405f-85c7-690b2fb79ecd/4f4b23ec-351f-4226-8a35-2b3cdffb2816")</f>
        <v>https://www.stromypodkontrolou.cz/map/tree/eb9fcfc1-f6fa-405f-85c7-690b2fb79ecd/4f4b23ec-351f-4226-8a35-2b3cdffb2816</v>
      </c>
      <c r="O232" s="3" t="str">
        <f>HYPERLINK("https://www.mapy.cz?st=search&amp;fr=49.67603885 18.66977072")</f>
        <v>https://www.mapy.cz?st=search&amp;fr=49.67603885 18.66977072</v>
      </c>
    </row>
    <row r="233" spans="1:15" ht="120">
      <c r="A233" s="10">
        <v>184</v>
      </c>
      <c r="B233" s="3" t="s">
        <v>13</v>
      </c>
      <c r="C233" s="3" t="s">
        <v>419</v>
      </c>
      <c r="D233" s="4">
        <v>71</v>
      </c>
      <c r="E233" s="5" t="s">
        <v>121</v>
      </c>
      <c r="F233" s="3" t="s">
        <v>122</v>
      </c>
      <c r="G233" s="4" t="s">
        <v>74</v>
      </c>
      <c r="H233" s="4" t="s">
        <v>49</v>
      </c>
      <c r="I233" s="4" t="s">
        <v>87</v>
      </c>
      <c r="J233" s="3" t="s">
        <v>422</v>
      </c>
      <c r="K233" s="3" t="s">
        <v>38</v>
      </c>
      <c r="L233" s="4" t="s">
        <v>423</v>
      </c>
      <c r="M233" s="19"/>
      <c r="N233" s="3" t="str">
        <f>HYPERLINK("https://www.stromypodkontrolou.cz/map/tree/eb9fcfc1-f6fa-405f-85c7-690b2fb79ecd/d6e95fa5-fb4e-483d-8b39-d272f4e9c0fb")</f>
        <v>https://www.stromypodkontrolou.cz/map/tree/eb9fcfc1-f6fa-405f-85c7-690b2fb79ecd/d6e95fa5-fb4e-483d-8b39-d272f4e9c0fb</v>
      </c>
      <c r="O233" s="3" t="str">
        <f>HYPERLINK("https://www.mapy.cz?st=search&amp;fr=49.67569886 18.66916624")</f>
        <v>https://www.mapy.cz?st=search&amp;fr=49.67569886 18.66916624</v>
      </c>
    </row>
    <row r="234" spans="1:15" ht="36">
      <c r="A234" s="16">
        <v>185</v>
      </c>
      <c r="B234" s="13" t="s">
        <v>13</v>
      </c>
      <c r="C234" s="13" t="s">
        <v>419</v>
      </c>
      <c r="D234" s="18">
        <v>161</v>
      </c>
      <c r="E234" s="15" t="s">
        <v>175</v>
      </c>
      <c r="F234" s="13" t="s">
        <v>176</v>
      </c>
      <c r="G234" s="18" t="s">
        <v>168</v>
      </c>
      <c r="H234" s="18" t="s">
        <v>327</v>
      </c>
      <c r="I234" s="18" t="s">
        <v>34</v>
      </c>
      <c r="J234" s="13" t="s">
        <v>59</v>
      </c>
      <c r="K234" s="3" t="s">
        <v>89</v>
      </c>
      <c r="L234" s="4" t="s">
        <v>328</v>
      </c>
      <c r="M234" s="19"/>
      <c r="N234" s="13" t="str">
        <f>HYPERLINK("https://www.stromypodkontrolou.cz/map/tree/eb9fcfc1-f6fa-405f-85c7-690b2fb79ecd/75fd99ad-c947-4c5c-a269-0b967b9502a2")</f>
        <v>https://www.stromypodkontrolou.cz/map/tree/eb9fcfc1-f6fa-405f-85c7-690b2fb79ecd/75fd99ad-c947-4c5c-a269-0b967b9502a2</v>
      </c>
      <c r="O234" s="13" t="str">
        <f>HYPERLINK("https://www.mapy.cz?st=search&amp;fr=49.67578485 18.66860078")</f>
        <v>https://www.mapy.cz?st=search&amp;fr=49.67578485 18.66860078</v>
      </c>
    </row>
    <row r="235" spans="1:15" ht="12.75">
      <c r="A235" s="16"/>
      <c r="B235" s="13"/>
      <c r="C235" s="13"/>
      <c r="D235" s="18"/>
      <c r="E235" s="15"/>
      <c r="F235" s="13"/>
      <c r="G235" s="18"/>
      <c r="H235" s="18"/>
      <c r="I235" s="18"/>
      <c r="J235" s="13"/>
      <c r="K235" s="3" t="s">
        <v>38</v>
      </c>
      <c r="L235" s="4" t="s">
        <v>142</v>
      </c>
      <c r="M235" s="19"/>
      <c r="N235" s="13"/>
      <c r="O235" s="13"/>
    </row>
    <row r="236" spans="1:15" ht="120">
      <c r="A236" s="10">
        <v>186</v>
      </c>
      <c r="B236" s="3" t="s">
        <v>13</v>
      </c>
      <c r="C236" s="3" t="s">
        <v>419</v>
      </c>
      <c r="D236" s="4">
        <v>166</v>
      </c>
      <c r="E236" s="5" t="s">
        <v>296</v>
      </c>
      <c r="F236" s="3" t="s">
        <v>297</v>
      </c>
      <c r="G236" s="4" t="s">
        <v>65</v>
      </c>
      <c r="H236" s="4" t="s">
        <v>18</v>
      </c>
      <c r="I236" s="4" t="s">
        <v>20</v>
      </c>
      <c r="J236" s="3" t="s">
        <v>424</v>
      </c>
      <c r="K236" s="3" t="s">
        <v>112</v>
      </c>
      <c r="L236" s="4" t="s">
        <v>113</v>
      </c>
      <c r="M236" s="19"/>
      <c r="N236" s="3" t="str">
        <f>HYPERLINK("https://www.stromypodkontrolou.cz/map/tree/eb9fcfc1-f6fa-405f-85c7-690b2fb79ecd/000a1aaf-f2a4-418f-b758-afcefa621f2c")</f>
        <v>https://www.stromypodkontrolou.cz/map/tree/eb9fcfc1-f6fa-405f-85c7-690b2fb79ecd/000a1aaf-f2a4-418f-b758-afcefa621f2c</v>
      </c>
      <c r="O236" s="3" t="str">
        <f>HYPERLINK("https://www.mapy.cz?st=search&amp;fr=49.67602785 18.66852474")</f>
        <v>https://www.mapy.cz?st=search&amp;fr=49.67602785 18.66852474</v>
      </c>
    </row>
    <row r="237" spans="1:15" ht="120">
      <c r="A237" s="10">
        <v>187</v>
      </c>
      <c r="B237" s="3" t="s">
        <v>13</v>
      </c>
      <c r="C237" s="3" t="s">
        <v>419</v>
      </c>
      <c r="D237" s="4">
        <v>238</v>
      </c>
      <c r="E237" s="5" t="s">
        <v>425</v>
      </c>
      <c r="F237" s="3" t="s">
        <v>426</v>
      </c>
      <c r="G237" s="4" t="s">
        <v>17</v>
      </c>
      <c r="H237" s="4" t="s">
        <v>117</v>
      </c>
      <c r="I237" s="4" t="s">
        <v>21</v>
      </c>
      <c r="J237" s="3"/>
      <c r="K237" s="3" t="s">
        <v>23</v>
      </c>
      <c r="L237" s="4" t="s">
        <v>118</v>
      </c>
      <c r="M237" s="19"/>
      <c r="N237" s="3" t="str">
        <f>HYPERLINK("https://www.stromypodkontrolou.cz/map/tree/eb9fcfc1-f6fa-405f-85c7-690b2fb79ecd/a2ebd557-bf49-4caa-b1f4-05d29e542c2b")</f>
        <v>https://www.stromypodkontrolou.cz/map/tree/eb9fcfc1-f6fa-405f-85c7-690b2fb79ecd/a2ebd557-bf49-4caa-b1f4-05d29e542c2b</v>
      </c>
      <c r="O237" s="3" t="str">
        <f>HYPERLINK("https://www.mapy.cz?st=search&amp;fr=49.67398691 18.67033209")</f>
        <v>https://www.mapy.cz?st=search&amp;fr=49.67398691 18.67033209</v>
      </c>
    </row>
    <row r="238" spans="1:15" ht="120">
      <c r="A238" s="10">
        <v>188</v>
      </c>
      <c r="B238" s="3" t="s">
        <v>13</v>
      </c>
      <c r="C238" s="3" t="s">
        <v>419</v>
      </c>
      <c r="D238" s="4">
        <v>244</v>
      </c>
      <c r="E238" s="5" t="s">
        <v>427</v>
      </c>
      <c r="F238" s="3" t="s">
        <v>428</v>
      </c>
      <c r="G238" s="4" t="s">
        <v>99</v>
      </c>
      <c r="H238" s="4" t="s">
        <v>111</v>
      </c>
      <c r="I238" s="4" t="s">
        <v>50</v>
      </c>
      <c r="J238" s="3" t="s">
        <v>207</v>
      </c>
      <c r="K238" s="3" t="s">
        <v>23</v>
      </c>
      <c r="L238" s="4" t="s">
        <v>118</v>
      </c>
      <c r="M238" s="19"/>
      <c r="N238" s="3" t="str">
        <f>HYPERLINK("https://www.stromypodkontrolou.cz/map/tree/eb9fcfc1-f6fa-405f-85c7-690b2fb79ecd/5b23943e-2901-443c-96e1-861784edc5d8")</f>
        <v>https://www.stromypodkontrolou.cz/map/tree/eb9fcfc1-f6fa-405f-85c7-690b2fb79ecd/5b23943e-2901-443c-96e1-861784edc5d8</v>
      </c>
      <c r="O238" s="3" t="str">
        <f>HYPERLINK("https://www.mapy.cz?st=search&amp;fr=49.67402325 18.67051566")</f>
        <v>https://www.mapy.cz?st=search&amp;fr=49.67402325 18.67051566</v>
      </c>
    </row>
    <row r="239" spans="1:15" ht="120">
      <c r="A239" s="10">
        <v>189</v>
      </c>
      <c r="B239" s="3" t="s">
        <v>13</v>
      </c>
      <c r="C239" s="3" t="s">
        <v>419</v>
      </c>
      <c r="D239" s="4">
        <v>245</v>
      </c>
      <c r="E239" s="5" t="s">
        <v>427</v>
      </c>
      <c r="F239" s="3" t="s">
        <v>428</v>
      </c>
      <c r="G239" s="4" t="s">
        <v>65</v>
      </c>
      <c r="H239" s="4" t="s">
        <v>117</v>
      </c>
      <c r="I239" s="4" t="s">
        <v>20</v>
      </c>
      <c r="J239" s="3"/>
      <c r="K239" s="3" t="s">
        <v>23</v>
      </c>
      <c r="L239" s="4" t="s">
        <v>118</v>
      </c>
      <c r="M239" s="19"/>
      <c r="N239" s="3" t="str">
        <f>HYPERLINK("https://www.stromypodkontrolou.cz/map/tree/eb9fcfc1-f6fa-405f-85c7-690b2fb79ecd/f7ab9f77-0236-435d-9c32-a3b40e4b79e8")</f>
        <v>https://www.stromypodkontrolou.cz/map/tree/eb9fcfc1-f6fa-405f-85c7-690b2fb79ecd/f7ab9f77-0236-435d-9c32-a3b40e4b79e8</v>
      </c>
      <c r="O239" s="3" t="str">
        <f>HYPERLINK("https://www.mapy.cz?st=search&amp;fr=49.67408293 18.67054943")</f>
        <v>https://www.mapy.cz?st=search&amp;fr=49.67408293 18.67054943</v>
      </c>
    </row>
    <row r="240" spans="1:15" ht="120">
      <c r="A240" s="10">
        <v>190</v>
      </c>
      <c r="B240" s="3" t="s">
        <v>13</v>
      </c>
      <c r="C240" s="3" t="s">
        <v>419</v>
      </c>
      <c r="D240" s="4">
        <v>246</v>
      </c>
      <c r="E240" s="5" t="s">
        <v>115</v>
      </c>
      <c r="F240" s="3" t="s">
        <v>116</v>
      </c>
      <c r="G240" s="4" t="s">
        <v>17</v>
      </c>
      <c r="H240" s="4" t="s">
        <v>117</v>
      </c>
      <c r="I240" s="4" t="s">
        <v>20</v>
      </c>
      <c r="J240" s="3"/>
      <c r="K240" s="3" t="s">
        <v>23</v>
      </c>
      <c r="L240" s="4" t="s">
        <v>118</v>
      </c>
      <c r="M240" s="19"/>
      <c r="N240" s="3" t="str">
        <f>HYPERLINK("https://www.stromypodkontrolou.cz/map/tree/eb9fcfc1-f6fa-405f-85c7-690b2fb79ecd/5cd8778d-6bef-4b4c-866d-f7dc1c1b2c8a")</f>
        <v>https://www.stromypodkontrolou.cz/map/tree/eb9fcfc1-f6fa-405f-85c7-690b2fb79ecd/5cd8778d-6bef-4b4c-866d-f7dc1c1b2c8a</v>
      </c>
      <c r="O240" s="3" t="str">
        <f>HYPERLINK("https://www.mapy.cz?st=search&amp;fr=49.67371163 18.67023195")</f>
        <v>https://www.mapy.cz?st=search&amp;fr=49.67371163 18.67023195</v>
      </c>
    </row>
    <row r="241" spans="1:15" ht="120">
      <c r="A241" s="10">
        <v>191</v>
      </c>
      <c r="B241" s="3" t="s">
        <v>13</v>
      </c>
      <c r="C241" s="3" t="s">
        <v>419</v>
      </c>
      <c r="D241" s="4">
        <v>247</v>
      </c>
      <c r="E241" s="5" t="s">
        <v>115</v>
      </c>
      <c r="F241" s="3" t="s">
        <v>116</v>
      </c>
      <c r="G241" s="4" t="s">
        <v>253</v>
      </c>
      <c r="H241" s="4" t="s">
        <v>132</v>
      </c>
      <c r="I241" s="4" t="s">
        <v>27</v>
      </c>
      <c r="J241" s="3" t="s">
        <v>429</v>
      </c>
      <c r="K241" s="3" t="s">
        <v>23</v>
      </c>
      <c r="L241" s="4" t="s">
        <v>118</v>
      </c>
      <c r="M241" s="19"/>
      <c r="N241" s="3" t="str">
        <f>HYPERLINK("https://www.stromypodkontrolou.cz/map/tree/eb9fcfc1-f6fa-405f-85c7-690b2fb79ecd/faecc406-b646-4ae7-b517-869140d27e59")</f>
        <v>https://www.stromypodkontrolou.cz/map/tree/eb9fcfc1-f6fa-405f-85c7-690b2fb79ecd/faecc406-b646-4ae7-b517-869140d27e59</v>
      </c>
      <c r="O241" s="3" t="str">
        <f>HYPERLINK("https://www.mapy.cz?st=search&amp;fr=49.67369655 18.67029382")</f>
        <v>https://www.mapy.cz?st=search&amp;fr=49.67369655 18.67029382</v>
      </c>
    </row>
    <row r="242" spans="1:15" ht="120">
      <c r="A242" s="10">
        <v>192</v>
      </c>
      <c r="B242" s="3" t="s">
        <v>13</v>
      </c>
      <c r="C242" s="3" t="s">
        <v>419</v>
      </c>
      <c r="D242" s="4">
        <v>261</v>
      </c>
      <c r="E242" s="5" t="s">
        <v>248</v>
      </c>
      <c r="F242" s="3" t="s">
        <v>249</v>
      </c>
      <c r="G242" s="4" t="s">
        <v>50</v>
      </c>
      <c r="H242" s="4" t="s">
        <v>58</v>
      </c>
      <c r="I242" s="4" t="s">
        <v>22</v>
      </c>
      <c r="J242" s="3"/>
      <c r="K242" s="3" t="s">
        <v>430</v>
      </c>
      <c r="L242" s="4" t="s">
        <v>431</v>
      </c>
      <c r="M242" s="19"/>
      <c r="N242" s="3" t="str">
        <f>HYPERLINK("https://www.stromypodkontrolou.cz/map/tree/eb9fcfc1-f6fa-405f-85c7-690b2fb79ecd/5bd9f9e0-faee-4558-9619-563c5588af75")</f>
        <v>https://www.stromypodkontrolou.cz/map/tree/eb9fcfc1-f6fa-405f-85c7-690b2fb79ecd/5bd9f9e0-faee-4558-9619-563c5588af75</v>
      </c>
      <c r="O242" s="3" t="str">
        <f>HYPERLINK("https://www.mapy.cz?st=search&amp;fr=49.67570841 18.66901935")</f>
        <v>https://www.mapy.cz?st=search&amp;fr=49.67570841 18.66901935</v>
      </c>
    </row>
    <row r="243" spans="1:15" ht="120">
      <c r="A243" s="10">
        <v>193</v>
      </c>
      <c r="B243" s="3" t="s">
        <v>13</v>
      </c>
      <c r="C243" s="3" t="s">
        <v>432</v>
      </c>
      <c r="D243" s="4">
        <v>10</v>
      </c>
      <c r="E243" s="5" t="s">
        <v>91</v>
      </c>
      <c r="F243" s="3" t="s">
        <v>92</v>
      </c>
      <c r="G243" s="4" t="s">
        <v>85</v>
      </c>
      <c r="H243" s="4" t="s">
        <v>62</v>
      </c>
      <c r="I243" s="4" t="s">
        <v>65</v>
      </c>
      <c r="J243" s="3" t="s">
        <v>214</v>
      </c>
      <c r="K243" s="3" t="s">
        <v>36</v>
      </c>
      <c r="L243" s="4" t="s">
        <v>202</v>
      </c>
      <c r="M243" s="19"/>
      <c r="N243" s="3" t="str">
        <f>HYPERLINK("https://www.stromypodkontrolou.cz/map/tree/eb9fcfc1-f6fa-405f-85c7-690b2fb79ecd/8d569f95-f881-4a90-a19a-44cb5021941b")</f>
        <v>https://www.stromypodkontrolou.cz/map/tree/eb9fcfc1-f6fa-405f-85c7-690b2fb79ecd/8d569f95-f881-4a90-a19a-44cb5021941b</v>
      </c>
      <c r="O243" s="3" t="str">
        <f>HYPERLINK("https://www.mapy.cz?st=search&amp;fr=49.66468535 18.67898507")</f>
        <v>https://www.mapy.cz?st=search&amp;fr=49.66468535 18.67898507</v>
      </c>
    </row>
    <row r="244" spans="1:15" ht="120">
      <c r="A244" s="10">
        <v>194</v>
      </c>
      <c r="B244" s="3" t="s">
        <v>13</v>
      </c>
      <c r="C244" s="3" t="s">
        <v>433</v>
      </c>
      <c r="D244" s="4">
        <v>23</v>
      </c>
      <c r="E244" s="5" t="s">
        <v>91</v>
      </c>
      <c r="F244" s="3" t="s">
        <v>92</v>
      </c>
      <c r="G244" s="4" t="s">
        <v>171</v>
      </c>
      <c r="H244" s="4" t="s">
        <v>57</v>
      </c>
      <c r="I244" s="4" t="s">
        <v>65</v>
      </c>
      <c r="J244" s="3"/>
      <c r="K244" s="3" t="s">
        <v>36</v>
      </c>
      <c r="L244" s="4" t="s">
        <v>60</v>
      </c>
      <c r="M244" s="19"/>
      <c r="N244" s="3" t="str">
        <f>HYPERLINK("https://www.stromypodkontrolou.cz/map/tree/eb9fcfc1-f6fa-405f-85c7-690b2fb79ecd/0fc8e625-d41d-4e97-886d-76cb9b483cd6")</f>
        <v>https://www.stromypodkontrolou.cz/map/tree/eb9fcfc1-f6fa-405f-85c7-690b2fb79ecd/0fc8e625-d41d-4e97-886d-76cb9b483cd6</v>
      </c>
      <c r="O244" s="3" t="str">
        <f>HYPERLINK("https://www.mapy.cz?st=search&amp;fr=49.66495946 18.67724617")</f>
        <v>https://www.mapy.cz?st=search&amp;fr=49.66495946 18.67724617</v>
      </c>
    </row>
    <row r="245" spans="1:15" ht="120">
      <c r="A245" s="10">
        <v>195</v>
      </c>
      <c r="B245" s="3" t="s">
        <v>13</v>
      </c>
      <c r="C245" s="3" t="s">
        <v>433</v>
      </c>
      <c r="D245" s="4">
        <v>40</v>
      </c>
      <c r="E245" s="5" t="s">
        <v>211</v>
      </c>
      <c r="F245" s="3" t="s">
        <v>212</v>
      </c>
      <c r="G245" s="4" t="s">
        <v>98</v>
      </c>
      <c r="H245" s="4" t="s">
        <v>57</v>
      </c>
      <c r="I245" s="4" t="s">
        <v>99</v>
      </c>
      <c r="J245" s="3"/>
      <c r="K245" s="3" t="s">
        <v>129</v>
      </c>
      <c r="L245" s="4" t="s">
        <v>101</v>
      </c>
      <c r="M245" s="19"/>
      <c r="N245" s="3" t="str">
        <f>HYPERLINK("https://www.stromypodkontrolou.cz/map/tree/eb9fcfc1-f6fa-405f-85c7-690b2fb79ecd/f4fccca1-272c-48a5-a9de-37123e1b44af")</f>
        <v>https://www.stromypodkontrolou.cz/map/tree/eb9fcfc1-f6fa-405f-85c7-690b2fb79ecd/f4fccca1-272c-48a5-a9de-37123e1b44af</v>
      </c>
      <c r="O245" s="3" t="str">
        <f>HYPERLINK("https://www.mapy.cz?st=search&amp;fr=49.66433044 18.67718729")</f>
        <v>https://www.mapy.cz?st=search&amp;fr=49.66433044 18.67718729</v>
      </c>
    </row>
    <row r="246" spans="1:15" ht="120">
      <c r="A246" s="10">
        <v>196</v>
      </c>
      <c r="B246" s="3" t="s">
        <v>13</v>
      </c>
      <c r="C246" s="3" t="s">
        <v>433</v>
      </c>
      <c r="D246" s="4">
        <v>251</v>
      </c>
      <c r="E246" s="5" t="s">
        <v>40</v>
      </c>
      <c r="F246" s="3" t="s">
        <v>41</v>
      </c>
      <c r="G246" s="4" t="s">
        <v>31</v>
      </c>
      <c r="H246" s="4" t="s">
        <v>182</v>
      </c>
      <c r="I246" s="4" t="s">
        <v>17</v>
      </c>
      <c r="J246" s="3" t="s">
        <v>434</v>
      </c>
      <c r="K246" s="3" t="s">
        <v>38</v>
      </c>
      <c r="L246" s="4" t="s">
        <v>52</v>
      </c>
      <c r="M246" s="19"/>
      <c r="N246" s="3" t="str">
        <f>HYPERLINK("https://www.stromypodkontrolou.cz/map/tree/eb9fcfc1-f6fa-405f-85c7-690b2fb79ecd/64249fc0-b77a-48c5-9d8a-7d521dbf6143")</f>
        <v>https://www.stromypodkontrolou.cz/map/tree/eb9fcfc1-f6fa-405f-85c7-690b2fb79ecd/64249fc0-b77a-48c5-9d8a-7d521dbf6143</v>
      </c>
      <c r="O246" s="3" t="str">
        <f>HYPERLINK("https://www.mapy.cz?st=search&amp;fr=49.66450336 18.67700741")</f>
        <v>https://www.mapy.cz?st=search&amp;fr=49.66450336 18.67700741</v>
      </c>
    </row>
    <row r="247" spans="1:15" ht="120">
      <c r="A247" s="10">
        <v>197</v>
      </c>
      <c r="B247" s="3" t="s">
        <v>13</v>
      </c>
      <c r="C247" s="3" t="s">
        <v>433</v>
      </c>
      <c r="D247" s="4">
        <v>263</v>
      </c>
      <c r="E247" s="5" t="s">
        <v>435</v>
      </c>
      <c r="F247" s="3" t="s">
        <v>436</v>
      </c>
      <c r="G247" s="4" t="s">
        <v>17</v>
      </c>
      <c r="H247" s="4" t="s">
        <v>18</v>
      </c>
      <c r="I247" s="4" t="s">
        <v>20</v>
      </c>
      <c r="J247" s="3"/>
      <c r="K247" s="3" t="s">
        <v>112</v>
      </c>
      <c r="L247" s="4" t="s">
        <v>113</v>
      </c>
      <c r="M247" s="19"/>
      <c r="N247" s="3" t="str">
        <f>HYPERLINK("https://www.stromypodkontrolou.cz/map/tree/eb9fcfc1-f6fa-405f-85c7-690b2fb79ecd/aee713b5-c259-4111-a7b0-db50811ac1f1")</f>
        <v>https://www.stromypodkontrolou.cz/map/tree/eb9fcfc1-f6fa-405f-85c7-690b2fb79ecd/aee713b5-c259-4111-a7b0-db50811ac1f1</v>
      </c>
      <c r="O247" s="3" t="str">
        <f>HYPERLINK("https://www.mapy.cz?st=search&amp;fr=49.66420074 18.67758100")</f>
        <v>https://www.mapy.cz?st=search&amp;fr=49.66420074 18.67758100</v>
      </c>
    </row>
    <row r="248" spans="1:15" ht="120">
      <c r="A248" s="10">
        <v>198</v>
      </c>
      <c r="B248" s="3" t="s">
        <v>13</v>
      </c>
      <c r="C248" s="3" t="s">
        <v>433</v>
      </c>
      <c r="D248" s="4">
        <v>269</v>
      </c>
      <c r="E248" s="5" t="s">
        <v>435</v>
      </c>
      <c r="F248" s="3" t="s">
        <v>436</v>
      </c>
      <c r="G248" s="4" t="s">
        <v>65</v>
      </c>
      <c r="H248" s="4" t="s">
        <v>18</v>
      </c>
      <c r="I248" s="4" t="s">
        <v>50</v>
      </c>
      <c r="J248" s="3"/>
      <c r="K248" s="3" t="s">
        <v>112</v>
      </c>
      <c r="L248" s="4" t="s">
        <v>113</v>
      </c>
      <c r="M248" s="19"/>
      <c r="N248" s="3" t="str">
        <f>HYPERLINK("https://www.stromypodkontrolou.cz/map/tree/eb9fcfc1-f6fa-405f-85c7-690b2fb79ecd/6a908815-e043-492c-b229-dc2b620605dd")</f>
        <v>https://www.stromypodkontrolou.cz/map/tree/eb9fcfc1-f6fa-405f-85c7-690b2fb79ecd/6a908815-e043-492c-b229-dc2b620605dd</v>
      </c>
      <c r="O248" s="3" t="str">
        <f>HYPERLINK("https://www.mapy.cz?st=search&amp;fr=49.66381580 18.67744134")</f>
        <v>https://www.mapy.cz?st=search&amp;fr=49.66381580 18.67744134</v>
      </c>
    </row>
    <row r="249" spans="1:15" ht="120">
      <c r="A249" s="10">
        <v>199</v>
      </c>
      <c r="B249" s="3" t="s">
        <v>13</v>
      </c>
      <c r="C249" s="3" t="s">
        <v>433</v>
      </c>
      <c r="D249" s="4">
        <v>282</v>
      </c>
      <c r="E249" s="5" t="s">
        <v>437</v>
      </c>
      <c r="F249" s="3" t="s">
        <v>438</v>
      </c>
      <c r="G249" s="4" t="s">
        <v>135</v>
      </c>
      <c r="H249" s="4" t="s">
        <v>117</v>
      </c>
      <c r="I249" s="4" t="s">
        <v>27</v>
      </c>
      <c r="J249" s="3"/>
      <c r="K249" s="3" t="s">
        <v>38</v>
      </c>
      <c r="L249" s="4" t="s">
        <v>229</v>
      </c>
      <c r="M249" s="19"/>
      <c r="N249" s="3" t="str">
        <f>HYPERLINK("https://www.stromypodkontrolou.cz/map/tree/eb9fcfc1-f6fa-405f-85c7-690b2fb79ecd/9e68ebfc-d35e-4bc9-af6a-ee68bd982a67")</f>
        <v>https://www.stromypodkontrolou.cz/map/tree/eb9fcfc1-f6fa-405f-85c7-690b2fb79ecd/9e68ebfc-d35e-4bc9-af6a-ee68bd982a67</v>
      </c>
      <c r="O249" s="3" t="str">
        <f>HYPERLINK("https://www.mapy.cz?st=search&amp;fr=49.66377885 18.67898747")</f>
        <v>https://www.mapy.cz?st=search&amp;fr=49.66377885 18.67898747</v>
      </c>
    </row>
    <row r="250" spans="1:15" ht="120">
      <c r="A250" s="10">
        <v>200</v>
      </c>
      <c r="B250" s="3" t="s">
        <v>13</v>
      </c>
      <c r="C250" s="3" t="s">
        <v>433</v>
      </c>
      <c r="D250" s="4">
        <v>289</v>
      </c>
      <c r="E250" s="5" t="s">
        <v>439</v>
      </c>
      <c r="F250" s="3" t="s">
        <v>440</v>
      </c>
      <c r="G250" s="4" t="s">
        <v>253</v>
      </c>
      <c r="H250" s="4" t="s">
        <v>117</v>
      </c>
      <c r="I250" s="4" t="s">
        <v>20</v>
      </c>
      <c r="J250" s="3"/>
      <c r="K250" s="3" t="s">
        <v>112</v>
      </c>
      <c r="L250" s="4" t="s">
        <v>113</v>
      </c>
      <c r="M250" s="19"/>
      <c r="N250" s="3" t="str">
        <f>HYPERLINK("https://www.stromypodkontrolou.cz/map/tree/eb9fcfc1-f6fa-405f-85c7-690b2fb79ecd/2c0cde69-f5ee-4f35-bdab-7735b108136d")</f>
        <v>https://www.stromypodkontrolou.cz/map/tree/eb9fcfc1-f6fa-405f-85c7-690b2fb79ecd/2c0cde69-f5ee-4f35-bdab-7735b108136d</v>
      </c>
      <c r="O250" s="3" t="str">
        <f>HYPERLINK("https://www.mapy.cz?st=search&amp;fr=49.66526224 18.67676156")</f>
        <v>https://www.mapy.cz?st=search&amp;fr=49.66526224 18.67676156</v>
      </c>
    </row>
    <row r="251" spans="1:15" ht="120">
      <c r="A251" s="10">
        <v>201</v>
      </c>
      <c r="B251" s="3" t="s">
        <v>13</v>
      </c>
      <c r="C251" s="3" t="s">
        <v>433</v>
      </c>
      <c r="D251" s="4">
        <v>293</v>
      </c>
      <c r="E251" s="5" t="s">
        <v>437</v>
      </c>
      <c r="F251" s="3" t="s">
        <v>438</v>
      </c>
      <c r="G251" s="4" t="s">
        <v>87</v>
      </c>
      <c r="H251" s="4" t="s">
        <v>26</v>
      </c>
      <c r="I251" s="4" t="s">
        <v>20</v>
      </c>
      <c r="J251" s="3"/>
      <c r="K251" s="3" t="s">
        <v>38</v>
      </c>
      <c r="L251" s="4" t="s">
        <v>114</v>
      </c>
      <c r="M251" s="19"/>
      <c r="N251" s="3" t="str">
        <f>HYPERLINK("https://www.stromypodkontrolou.cz/map/tree/eb9fcfc1-f6fa-405f-85c7-690b2fb79ecd/d9f7be1d-0349-4959-98f6-c212bbd1bb82")</f>
        <v>https://www.stromypodkontrolou.cz/map/tree/eb9fcfc1-f6fa-405f-85c7-690b2fb79ecd/d9f7be1d-0349-4959-98f6-c212bbd1bb82</v>
      </c>
      <c r="O251" s="3" t="str">
        <f>HYPERLINK("https://www.mapy.cz?st=search&amp;fr=49.66373148 18.67905823")</f>
        <v>https://www.mapy.cz?st=search&amp;fr=49.66373148 18.67905823</v>
      </c>
    </row>
    <row r="252" spans="1:15" ht="120">
      <c r="A252" s="10">
        <v>202</v>
      </c>
      <c r="B252" s="3" t="s">
        <v>13</v>
      </c>
      <c r="C252" s="3" t="s">
        <v>433</v>
      </c>
      <c r="D252" s="4">
        <v>294</v>
      </c>
      <c r="E252" s="5" t="s">
        <v>439</v>
      </c>
      <c r="F252" s="3" t="s">
        <v>440</v>
      </c>
      <c r="G252" s="4" t="s">
        <v>135</v>
      </c>
      <c r="H252" s="4" t="s">
        <v>117</v>
      </c>
      <c r="I252" s="4" t="s">
        <v>20</v>
      </c>
      <c r="J252" s="3"/>
      <c r="K252" s="3" t="s">
        <v>112</v>
      </c>
      <c r="L252" s="4" t="s">
        <v>113</v>
      </c>
      <c r="M252" s="19"/>
      <c r="N252" s="3" t="str">
        <f>HYPERLINK("https://www.stromypodkontrolou.cz/map/tree/eb9fcfc1-f6fa-405f-85c7-690b2fb79ecd/ec73d403-4dd9-4f71-8bb6-d7b5cfac9e5e")</f>
        <v>https://www.stromypodkontrolou.cz/map/tree/eb9fcfc1-f6fa-405f-85c7-690b2fb79ecd/ec73d403-4dd9-4f71-8bb6-d7b5cfac9e5e</v>
      </c>
      <c r="O252" s="3" t="str">
        <f>HYPERLINK("https://www.mapy.cz?st=search&amp;fr=49.66520323 18.67673494")</f>
        <v>https://www.mapy.cz?st=search&amp;fr=49.66520323 18.67673494</v>
      </c>
    </row>
    <row r="253" spans="1:15" ht="120">
      <c r="A253" s="10">
        <v>203</v>
      </c>
      <c r="B253" s="3" t="s">
        <v>13</v>
      </c>
      <c r="C253" s="3" t="s">
        <v>433</v>
      </c>
      <c r="D253" s="4">
        <v>309</v>
      </c>
      <c r="E253" s="5" t="s">
        <v>437</v>
      </c>
      <c r="F253" s="3" t="s">
        <v>438</v>
      </c>
      <c r="G253" s="4" t="s">
        <v>152</v>
      </c>
      <c r="H253" s="4" t="s">
        <v>117</v>
      </c>
      <c r="I253" s="4" t="s">
        <v>50</v>
      </c>
      <c r="J253" s="3"/>
      <c r="K253" s="3" t="s">
        <v>38</v>
      </c>
      <c r="L253" s="4" t="s">
        <v>114</v>
      </c>
      <c r="M253" s="19"/>
      <c r="N253" s="3" t="str">
        <f>HYPERLINK("https://www.stromypodkontrolou.cz/map/tree/eb9fcfc1-f6fa-405f-85c7-690b2fb79ecd/a745b6c3-a871-4e79-ab5e-afd32f1233b1")</f>
        <v>https://www.stromypodkontrolou.cz/map/tree/eb9fcfc1-f6fa-405f-85c7-690b2fb79ecd/a745b6c3-a871-4e79-ab5e-afd32f1233b1</v>
      </c>
      <c r="O253" s="3" t="str">
        <f>HYPERLINK("https://www.mapy.cz?st=search&amp;fr=49.66368076 18.67910717")</f>
        <v>https://www.mapy.cz?st=search&amp;fr=49.66368076 18.67910717</v>
      </c>
    </row>
    <row r="254" spans="1:15" ht="120">
      <c r="A254" s="10">
        <v>204</v>
      </c>
      <c r="B254" s="3" t="s">
        <v>13</v>
      </c>
      <c r="C254" s="3" t="s">
        <v>441</v>
      </c>
      <c r="D254" s="4">
        <v>14</v>
      </c>
      <c r="E254" s="5" t="s">
        <v>175</v>
      </c>
      <c r="F254" s="3" t="s">
        <v>176</v>
      </c>
      <c r="G254" s="4" t="s">
        <v>135</v>
      </c>
      <c r="H254" s="4" t="s">
        <v>117</v>
      </c>
      <c r="I254" s="4" t="s">
        <v>20</v>
      </c>
      <c r="J254" s="3"/>
      <c r="K254" s="3" t="s">
        <v>38</v>
      </c>
      <c r="L254" s="4" t="s">
        <v>114</v>
      </c>
      <c r="M254" s="19"/>
      <c r="N254" s="3" t="str">
        <f>HYPERLINK("https://www.stromypodkontrolou.cz/map/tree/eb9fcfc1-f6fa-405f-85c7-690b2fb79ecd/372939a3-0638-4843-916e-58dde0da72fe")</f>
        <v>https://www.stromypodkontrolou.cz/map/tree/eb9fcfc1-f6fa-405f-85c7-690b2fb79ecd/372939a3-0638-4843-916e-58dde0da72fe</v>
      </c>
      <c r="O254" s="3" t="str">
        <f>HYPERLINK("https://www.mapy.cz?st=search&amp;fr=49.67116009 18.68289610")</f>
        <v>https://www.mapy.cz?st=search&amp;fr=49.67116009 18.68289610</v>
      </c>
    </row>
    <row r="255" spans="1:15" ht="120">
      <c r="A255" s="10">
        <v>205</v>
      </c>
      <c r="B255" s="3" t="s">
        <v>13</v>
      </c>
      <c r="C255" s="3" t="s">
        <v>441</v>
      </c>
      <c r="D255" s="4">
        <v>33</v>
      </c>
      <c r="E255" s="5" t="s">
        <v>175</v>
      </c>
      <c r="F255" s="3" t="s">
        <v>176</v>
      </c>
      <c r="G255" s="4" t="s">
        <v>34</v>
      </c>
      <c r="H255" s="4" t="s">
        <v>117</v>
      </c>
      <c r="I255" s="4" t="s">
        <v>21</v>
      </c>
      <c r="J255" s="3"/>
      <c r="K255" s="3" t="s">
        <v>23</v>
      </c>
      <c r="L255" s="4" t="s">
        <v>118</v>
      </c>
      <c r="M255" s="19"/>
      <c r="N255" s="3" t="str">
        <f>HYPERLINK("https://www.stromypodkontrolou.cz/map/tree/eb9fcfc1-f6fa-405f-85c7-690b2fb79ecd/eac9695a-bc1d-4687-b376-0d0362100b78")</f>
        <v>https://www.stromypodkontrolou.cz/map/tree/eb9fcfc1-f6fa-405f-85c7-690b2fb79ecd/eac9695a-bc1d-4687-b376-0d0362100b78</v>
      </c>
      <c r="O255" s="3" t="str">
        <f>HYPERLINK("https://www.mapy.cz?st=search&amp;fr=49.67076909 18.68240110")</f>
        <v>https://www.mapy.cz?st=search&amp;fr=49.67076909 18.68240110</v>
      </c>
    </row>
    <row r="256" spans="1:15" ht="120">
      <c r="A256" s="10">
        <v>206</v>
      </c>
      <c r="B256" s="3" t="s">
        <v>13</v>
      </c>
      <c r="C256" s="3" t="s">
        <v>441</v>
      </c>
      <c r="D256" s="4">
        <v>37</v>
      </c>
      <c r="E256" s="5" t="s">
        <v>175</v>
      </c>
      <c r="F256" s="3" t="s">
        <v>176</v>
      </c>
      <c r="G256" s="4" t="s">
        <v>87</v>
      </c>
      <c r="H256" s="4" t="s">
        <v>111</v>
      </c>
      <c r="I256" s="4" t="s">
        <v>20</v>
      </c>
      <c r="J256" s="3"/>
      <c r="K256" s="3" t="s">
        <v>23</v>
      </c>
      <c r="L256" s="4" t="s">
        <v>118</v>
      </c>
      <c r="M256" s="19"/>
      <c r="N256" s="3" t="str">
        <f>HYPERLINK("https://www.stromypodkontrolou.cz/map/tree/eb9fcfc1-f6fa-405f-85c7-690b2fb79ecd/062c5772-c11d-4b9a-a1fd-b838691888c7")</f>
        <v>https://www.stromypodkontrolou.cz/map/tree/eb9fcfc1-f6fa-405f-85c7-690b2fb79ecd/062c5772-c11d-4b9a-a1fd-b838691888c7</v>
      </c>
      <c r="O256" s="3" t="str">
        <f>HYPERLINK("https://www.mapy.cz?st=search&amp;fr=49.67060909 18.68203210")</f>
        <v>https://www.mapy.cz?st=search&amp;fr=49.67060909 18.68203210</v>
      </c>
    </row>
    <row r="257" spans="1:15" ht="120">
      <c r="A257" s="10">
        <v>207</v>
      </c>
      <c r="B257" s="3" t="s">
        <v>13</v>
      </c>
      <c r="C257" s="3" t="s">
        <v>441</v>
      </c>
      <c r="D257" s="4">
        <v>46</v>
      </c>
      <c r="E257" s="5" t="s">
        <v>215</v>
      </c>
      <c r="F257" s="3" t="s">
        <v>216</v>
      </c>
      <c r="G257" s="4" t="s">
        <v>34</v>
      </c>
      <c r="H257" s="4" t="s">
        <v>18</v>
      </c>
      <c r="I257" s="4" t="s">
        <v>21</v>
      </c>
      <c r="J257" s="3"/>
      <c r="K257" s="3" t="s">
        <v>23</v>
      </c>
      <c r="L257" s="4" t="s">
        <v>24</v>
      </c>
      <c r="M257" s="19"/>
      <c r="N257" s="3" t="str">
        <f>HYPERLINK("https://www.stromypodkontrolou.cz/map/tree/eb9fcfc1-f6fa-405f-85c7-690b2fb79ecd/5e6fa1a2-2483-4f05-a39c-535ec1235890")</f>
        <v>https://www.stromypodkontrolou.cz/map/tree/eb9fcfc1-f6fa-405f-85c7-690b2fb79ecd/5e6fa1a2-2483-4f05-a39c-535ec1235890</v>
      </c>
      <c r="O257" s="3" t="str">
        <f>HYPERLINK("https://www.mapy.cz?st=search&amp;fr=49.67110224 18.68322570")</f>
        <v>https://www.mapy.cz?st=search&amp;fr=49.67110224 18.68322570</v>
      </c>
    </row>
    <row r="258" spans="1:15" ht="120">
      <c r="A258" s="10">
        <v>208</v>
      </c>
      <c r="B258" s="3" t="s">
        <v>13</v>
      </c>
      <c r="C258" s="3" t="s">
        <v>441</v>
      </c>
      <c r="D258" s="4">
        <v>48</v>
      </c>
      <c r="E258" s="5" t="s">
        <v>215</v>
      </c>
      <c r="F258" s="3" t="s">
        <v>216</v>
      </c>
      <c r="G258" s="4" t="s">
        <v>17</v>
      </c>
      <c r="H258" s="4" t="s">
        <v>117</v>
      </c>
      <c r="I258" s="4" t="s">
        <v>21</v>
      </c>
      <c r="J258" s="3"/>
      <c r="K258" s="3" t="s">
        <v>23</v>
      </c>
      <c r="L258" s="4" t="s">
        <v>118</v>
      </c>
      <c r="M258" s="19"/>
      <c r="N258" s="3" t="str">
        <f>HYPERLINK("https://www.stromypodkontrolou.cz/map/tree/eb9fcfc1-f6fa-405f-85c7-690b2fb79ecd/341c0827-34d1-4e6c-bfe2-17734061f7dd")</f>
        <v>https://www.stromypodkontrolou.cz/map/tree/eb9fcfc1-f6fa-405f-85c7-690b2fb79ecd/341c0827-34d1-4e6c-bfe2-17734061f7dd</v>
      </c>
      <c r="O258" s="3" t="str">
        <f>HYPERLINK("https://www.mapy.cz?st=search&amp;fr=49.67087909 18.68301810")</f>
        <v>https://www.mapy.cz?st=search&amp;fr=49.67087909 18.68301810</v>
      </c>
    </row>
    <row r="259" spans="1:15" ht="120">
      <c r="A259" s="10">
        <v>209</v>
      </c>
      <c r="B259" s="3" t="s">
        <v>13</v>
      </c>
      <c r="C259" s="3" t="s">
        <v>441</v>
      </c>
      <c r="D259" s="4">
        <v>52</v>
      </c>
      <c r="E259" s="5" t="s">
        <v>215</v>
      </c>
      <c r="F259" s="3" t="s">
        <v>216</v>
      </c>
      <c r="G259" s="4" t="s">
        <v>34</v>
      </c>
      <c r="H259" s="4" t="s">
        <v>117</v>
      </c>
      <c r="I259" s="4" t="s">
        <v>21</v>
      </c>
      <c r="J259" s="3"/>
      <c r="K259" s="3" t="s">
        <v>23</v>
      </c>
      <c r="L259" s="4" t="s">
        <v>118</v>
      </c>
      <c r="M259" s="19"/>
      <c r="N259" s="3" t="str">
        <f>HYPERLINK("https://www.stromypodkontrolou.cz/map/tree/eb9fcfc1-f6fa-405f-85c7-690b2fb79ecd/61a1d39b-37ba-4153-b8f1-f1dec2664b09")</f>
        <v>https://www.stromypodkontrolou.cz/map/tree/eb9fcfc1-f6fa-405f-85c7-690b2fb79ecd/61a1d39b-37ba-4153-b8f1-f1dec2664b09</v>
      </c>
      <c r="O259" s="3" t="str">
        <f>HYPERLINK("https://www.mapy.cz?st=search&amp;fr=49.67083709 18.68301510")</f>
        <v>https://www.mapy.cz?st=search&amp;fr=49.67083709 18.68301510</v>
      </c>
    </row>
    <row r="260" spans="1:15" ht="120">
      <c r="A260" s="10">
        <v>210</v>
      </c>
      <c r="B260" s="3" t="s">
        <v>13</v>
      </c>
      <c r="C260" s="3" t="s">
        <v>441</v>
      </c>
      <c r="D260" s="4">
        <v>53</v>
      </c>
      <c r="E260" s="5" t="s">
        <v>248</v>
      </c>
      <c r="F260" s="3" t="s">
        <v>249</v>
      </c>
      <c r="G260" s="4" t="s">
        <v>50</v>
      </c>
      <c r="H260" s="4" t="s">
        <v>26</v>
      </c>
      <c r="I260" s="4" t="s">
        <v>22</v>
      </c>
      <c r="J260" s="3"/>
      <c r="K260" s="3" t="s">
        <v>23</v>
      </c>
      <c r="L260" s="4" t="s">
        <v>24</v>
      </c>
      <c r="M260" s="19"/>
      <c r="N260" s="3" t="str">
        <f>HYPERLINK("https://www.stromypodkontrolou.cz/map/tree/eb9fcfc1-f6fa-405f-85c7-690b2fb79ecd/11f69b43-bb6d-4f71-85a5-4816e5ddfbb9")</f>
        <v>https://www.stromypodkontrolou.cz/map/tree/eb9fcfc1-f6fa-405f-85c7-690b2fb79ecd/11f69b43-bb6d-4f71-85a5-4816e5ddfbb9</v>
      </c>
      <c r="O260" s="3" t="str">
        <f>HYPERLINK("https://www.mapy.cz?st=search&amp;fr=49.67096797 18.68233482")</f>
        <v>https://www.mapy.cz?st=search&amp;fr=49.67096797 18.68233482</v>
      </c>
    </row>
    <row r="261" spans="1:15" ht="120">
      <c r="A261" s="10">
        <v>211</v>
      </c>
      <c r="B261" s="3" t="s">
        <v>13</v>
      </c>
      <c r="C261" s="3" t="s">
        <v>441</v>
      </c>
      <c r="D261" s="4">
        <v>54</v>
      </c>
      <c r="E261" s="5" t="s">
        <v>248</v>
      </c>
      <c r="F261" s="3" t="s">
        <v>249</v>
      </c>
      <c r="G261" s="4" t="s">
        <v>50</v>
      </c>
      <c r="H261" s="4" t="s">
        <v>26</v>
      </c>
      <c r="I261" s="4" t="s">
        <v>22</v>
      </c>
      <c r="J261" s="3"/>
      <c r="K261" s="3" t="s">
        <v>23</v>
      </c>
      <c r="L261" s="4" t="s">
        <v>24</v>
      </c>
      <c r="M261" s="19"/>
      <c r="N261" s="3" t="str">
        <f>HYPERLINK("https://www.stromypodkontrolou.cz/map/tree/eb9fcfc1-f6fa-405f-85c7-690b2fb79ecd/9ed45f89-809a-448b-b236-1f5991211e82")</f>
        <v>https://www.stromypodkontrolou.cz/map/tree/eb9fcfc1-f6fa-405f-85c7-690b2fb79ecd/9ed45f89-809a-448b-b236-1f5991211e82</v>
      </c>
      <c r="O261" s="3" t="str">
        <f>HYPERLINK("https://www.mapy.cz?st=search&amp;fr=49.67098446 18.68221512")</f>
        <v>https://www.mapy.cz?st=search&amp;fr=49.67098446 18.68221512</v>
      </c>
    </row>
    <row r="262" spans="1:15" ht="120">
      <c r="A262" s="10">
        <v>212</v>
      </c>
      <c r="B262" s="3" t="s">
        <v>13</v>
      </c>
      <c r="C262" s="3" t="s">
        <v>441</v>
      </c>
      <c r="D262" s="4">
        <v>55</v>
      </c>
      <c r="E262" s="5" t="s">
        <v>248</v>
      </c>
      <c r="F262" s="3" t="s">
        <v>249</v>
      </c>
      <c r="G262" s="4" t="s">
        <v>50</v>
      </c>
      <c r="H262" s="4" t="s">
        <v>26</v>
      </c>
      <c r="I262" s="4" t="s">
        <v>22</v>
      </c>
      <c r="J262" s="3"/>
      <c r="K262" s="3" t="s">
        <v>23</v>
      </c>
      <c r="L262" s="4" t="s">
        <v>24</v>
      </c>
      <c r="M262" s="19"/>
      <c r="N262" s="3" t="str">
        <f>HYPERLINK("https://www.stromypodkontrolou.cz/map/tree/eb9fcfc1-f6fa-405f-85c7-690b2fb79ecd/f81bdcdd-51ec-4806-9afe-fb32e110126b")</f>
        <v>https://www.stromypodkontrolou.cz/map/tree/eb9fcfc1-f6fa-405f-85c7-690b2fb79ecd/f81bdcdd-51ec-4806-9afe-fb32e110126b</v>
      </c>
      <c r="O262" s="3" t="str">
        <f>HYPERLINK("https://www.mapy.cz?st=search&amp;fr=49.67099683 18.68209811")</f>
        <v>https://www.mapy.cz?st=search&amp;fr=49.67099683 18.68209811</v>
      </c>
    </row>
    <row r="263" spans="1:15" ht="120">
      <c r="A263" s="10">
        <v>213</v>
      </c>
      <c r="B263" s="3" t="s">
        <v>13</v>
      </c>
      <c r="C263" s="3" t="s">
        <v>441</v>
      </c>
      <c r="D263" s="4">
        <v>56</v>
      </c>
      <c r="E263" s="5" t="s">
        <v>248</v>
      </c>
      <c r="F263" s="3" t="s">
        <v>249</v>
      </c>
      <c r="G263" s="4" t="s">
        <v>50</v>
      </c>
      <c r="H263" s="4" t="s">
        <v>26</v>
      </c>
      <c r="I263" s="4" t="s">
        <v>22</v>
      </c>
      <c r="J263" s="3"/>
      <c r="K263" s="3" t="s">
        <v>23</v>
      </c>
      <c r="L263" s="4" t="s">
        <v>24</v>
      </c>
      <c r="M263" s="19"/>
      <c r="N263" s="3" t="str">
        <f>HYPERLINK("https://www.stromypodkontrolou.cz/map/tree/eb9fcfc1-f6fa-405f-85c7-690b2fb79ecd/ce52fbc0-3b7c-4e98-9a64-40ce4e3ce594")</f>
        <v>https://www.stromypodkontrolou.cz/map/tree/eb9fcfc1-f6fa-405f-85c7-690b2fb79ecd/ce52fbc0-3b7c-4e98-9a64-40ce4e3ce594</v>
      </c>
      <c r="O263" s="3" t="str">
        <f>HYPERLINK("https://www.mapy.cz?st=search&amp;fr=49.67093369 18.68207498")</f>
        <v>https://www.mapy.cz?st=search&amp;fr=49.67093369 18.68207498</v>
      </c>
    </row>
    <row r="264" spans="1:15" ht="120">
      <c r="A264" s="10">
        <v>214</v>
      </c>
      <c r="B264" s="3" t="s">
        <v>13</v>
      </c>
      <c r="C264" s="3" t="s">
        <v>441</v>
      </c>
      <c r="D264" s="4">
        <v>57</v>
      </c>
      <c r="E264" s="5" t="s">
        <v>248</v>
      </c>
      <c r="F264" s="3" t="s">
        <v>249</v>
      </c>
      <c r="G264" s="4" t="s">
        <v>50</v>
      </c>
      <c r="H264" s="4" t="s">
        <v>26</v>
      </c>
      <c r="I264" s="4" t="s">
        <v>22</v>
      </c>
      <c r="J264" s="3"/>
      <c r="K264" s="3" t="s">
        <v>23</v>
      </c>
      <c r="L264" s="4" t="s">
        <v>24</v>
      </c>
      <c r="M264" s="19"/>
      <c r="N264" s="3" t="str">
        <f>HYPERLINK("https://www.stromypodkontrolou.cz/map/tree/eb9fcfc1-f6fa-405f-85c7-690b2fb79ecd/93bd7038-c7cc-48dc-b2ce-5d72cc3686bc")</f>
        <v>https://www.stromypodkontrolou.cz/map/tree/eb9fcfc1-f6fa-405f-85c7-690b2fb79ecd/93bd7038-c7cc-48dc-b2ce-5d72cc3686bc</v>
      </c>
      <c r="O264" s="3" t="str">
        <f>HYPERLINK("https://www.mapy.cz?st=search&amp;fr=49.67092024 18.68219300")</f>
        <v>https://www.mapy.cz?st=search&amp;fr=49.67092024 18.68219300</v>
      </c>
    </row>
    <row r="265" spans="1:15" ht="120">
      <c r="A265" s="10">
        <v>215</v>
      </c>
      <c r="B265" s="3" t="s">
        <v>13</v>
      </c>
      <c r="C265" s="3" t="s">
        <v>441</v>
      </c>
      <c r="D265" s="4">
        <v>58</v>
      </c>
      <c r="E265" s="5" t="s">
        <v>248</v>
      </c>
      <c r="F265" s="3" t="s">
        <v>249</v>
      </c>
      <c r="G265" s="4" t="s">
        <v>50</v>
      </c>
      <c r="H265" s="4" t="s">
        <v>58</v>
      </c>
      <c r="I265" s="4" t="s">
        <v>22</v>
      </c>
      <c r="J265" s="3"/>
      <c r="K265" s="3" t="s">
        <v>23</v>
      </c>
      <c r="L265" s="4" t="s">
        <v>125</v>
      </c>
      <c r="M265" s="19"/>
      <c r="N265" s="3" t="str">
        <f>HYPERLINK("https://www.stromypodkontrolou.cz/map/tree/eb9fcfc1-f6fa-405f-85c7-690b2fb79ecd/7d029c80-1071-4bdc-bd70-4001ee3497ed")</f>
        <v>https://www.stromypodkontrolou.cz/map/tree/eb9fcfc1-f6fa-405f-85c7-690b2fb79ecd/7d029c80-1071-4bdc-bd70-4001ee3497ed</v>
      </c>
      <c r="O265" s="3" t="str">
        <f>HYPERLINK("https://www.mapy.cz?st=search&amp;fr=49.67086664 18.68205218")</f>
        <v>https://www.mapy.cz?st=search&amp;fr=49.67086664 18.68205218</v>
      </c>
    </row>
    <row r="266" spans="1:15" ht="120">
      <c r="A266" s="10">
        <v>216</v>
      </c>
      <c r="B266" s="3" t="s">
        <v>13</v>
      </c>
      <c r="C266" s="3" t="s">
        <v>441</v>
      </c>
      <c r="D266" s="4">
        <v>59</v>
      </c>
      <c r="E266" s="5" t="s">
        <v>175</v>
      </c>
      <c r="F266" s="3" t="s">
        <v>176</v>
      </c>
      <c r="G266" s="4" t="s">
        <v>34</v>
      </c>
      <c r="H266" s="4" t="s">
        <v>117</v>
      </c>
      <c r="I266" s="4" t="s">
        <v>22</v>
      </c>
      <c r="J266" s="3"/>
      <c r="K266" s="3" t="s">
        <v>23</v>
      </c>
      <c r="L266" s="4" t="s">
        <v>118</v>
      </c>
      <c r="M266" s="19"/>
      <c r="N266" s="3" t="str">
        <f>HYPERLINK("https://www.stromypodkontrolou.cz/map/tree/eb9fcfc1-f6fa-405f-85c7-690b2fb79ecd/abb73aba-67a3-4426-a7ce-adea615c53cb")</f>
        <v>https://www.stromypodkontrolou.cz/map/tree/eb9fcfc1-f6fa-405f-85c7-690b2fb79ecd/abb73aba-67a3-4426-a7ce-adea615c53cb</v>
      </c>
      <c r="O266" s="3" t="str">
        <f>HYPERLINK("https://www.mapy.cz?st=search&amp;fr=49.67108124 18.68269926")</f>
        <v>https://www.mapy.cz?st=search&amp;fr=49.67108124 18.68269926</v>
      </c>
    </row>
    <row r="267" spans="1:15" ht="36">
      <c r="A267" s="16">
        <v>217</v>
      </c>
      <c r="B267" s="13" t="s">
        <v>13</v>
      </c>
      <c r="C267" s="13" t="s">
        <v>442</v>
      </c>
      <c r="D267" s="18">
        <v>11</v>
      </c>
      <c r="E267" s="15" t="s">
        <v>40</v>
      </c>
      <c r="F267" s="13" t="s">
        <v>41</v>
      </c>
      <c r="G267" s="18" t="s">
        <v>119</v>
      </c>
      <c r="H267" s="18" t="s">
        <v>32</v>
      </c>
      <c r="I267" s="18" t="s">
        <v>99</v>
      </c>
      <c r="J267" s="13" t="s">
        <v>94</v>
      </c>
      <c r="K267" s="3" t="s">
        <v>38</v>
      </c>
      <c r="L267" s="4" t="s">
        <v>52</v>
      </c>
      <c r="M267" s="19"/>
      <c r="N267" s="13" t="str">
        <f>HYPERLINK("https://www.stromypodkontrolou.cz/map/tree/eb9fcfc1-f6fa-405f-85c7-690b2fb79ecd/00b860c8-94c4-4e2c-89ad-df635e5a03c1")</f>
        <v>https://www.stromypodkontrolou.cz/map/tree/eb9fcfc1-f6fa-405f-85c7-690b2fb79ecd/00b860c8-94c4-4e2c-89ad-df635e5a03c1</v>
      </c>
      <c r="O267" s="13" t="str">
        <f>HYPERLINK("https://www.mapy.cz?st=search&amp;fr=49.66334707 18.67515811")</f>
        <v>https://www.mapy.cz?st=search&amp;fr=49.66334707 18.67515811</v>
      </c>
    </row>
    <row r="268" spans="1:15" ht="36">
      <c r="A268" s="16"/>
      <c r="B268" s="13"/>
      <c r="C268" s="13"/>
      <c r="D268" s="18"/>
      <c r="E268" s="15"/>
      <c r="F268" s="13"/>
      <c r="G268" s="18"/>
      <c r="H268" s="18"/>
      <c r="I268" s="18"/>
      <c r="J268" s="13"/>
      <c r="K268" s="3" t="s">
        <v>36</v>
      </c>
      <c r="L268" s="4" t="s">
        <v>53</v>
      </c>
      <c r="M268" s="19"/>
      <c r="N268" s="13"/>
      <c r="O268" s="13"/>
    </row>
    <row r="269" spans="1:15" ht="36">
      <c r="A269" s="16">
        <v>218</v>
      </c>
      <c r="B269" s="13" t="s">
        <v>13</v>
      </c>
      <c r="C269" s="13" t="s">
        <v>442</v>
      </c>
      <c r="D269" s="18">
        <v>19</v>
      </c>
      <c r="E269" s="15" t="s">
        <v>40</v>
      </c>
      <c r="F269" s="13" t="s">
        <v>41</v>
      </c>
      <c r="G269" s="18" t="s">
        <v>417</v>
      </c>
      <c r="H269" s="18" t="s">
        <v>69</v>
      </c>
      <c r="I269" s="18" t="s">
        <v>34</v>
      </c>
      <c r="J269" s="13" t="s">
        <v>75</v>
      </c>
      <c r="K269" s="3" t="s">
        <v>36</v>
      </c>
      <c r="L269" s="4" t="s">
        <v>46</v>
      </c>
      <c r="M269" s="19"/>
      <c r="N269" s="13" t="str">
        <f>HYPERLINK("https://www.stromypodkontrolou.cz/map/tree/eb9fcfc1-f6fa-405f-85c7-690b2fb79ecd/c99dbc9e-5aa6-4a6d-b78a-95bb04f22f06")</f>
        <v>https://www.stromypodkontrolou.cz/map/tree/eb9fcfc1-f6fa-405f-85c7-690b2fb79ecd/c99dbc9e-5aa6-4a6d-b78a-95bb04f22f06</v>
      </c>
      <c r="O269" s="13" t="str">
        <f>HYPERLINK("https://www.mapy.cz?st=search&amp;fr=49.66297914 18.67723784")</f>
        <v>https://www.mapy.cz?st=search&amp;fr=49.66297914 18.67723784</v>
      </c>
    </row>
    <row r="270" spans="1:15" ht="36">
      <c r="A270" s="16"/>
      <c r="B270" s="13"/>
      <c r="C270" s="13"/>
      <c r="D270" s="18"/>
      <c r="E270" s="15"/>
      <c r="F270" s="13"/>
      <c r="G270" s="18"/>
      <c r="H270" s="18"/>
      <c r="I270" s="18"/>
      <c r="J270" s="13"/>
      <c r="K270" s="3" t="s">
        <v>38</v>
      </c>
      <c r="L270" s="4" t="s">
        <v>47</v>
      </c>
      <c r="M270" s="19"/>
      <c r="N270" s="13"/>
      <c r="O270" s="13"/>
    </row>
    <row r="271" spans="1:15" ht="36">
      <c r="A271" s="16">
        <v>219</v>
      </c>
      <c r="B271" s="13" t="s">
        <v>13</v>
      </c>
      <c r="C271" s="13" t="s">
        <v>442</v>
      </c>
      <c r="D271" s="18">
        <v>22</v>
      </c>
      <c r="E271" s="15" t="s">
        <v>40</v>
      </c>
      <c r="F271" s="13" t="s">
        <v>41</v>
      </c>
      <c r="G271" s="18" t="s">
        <v>225</v>
      </c>
      <c r="H271" s="18" t="s">
        <v>69</v>
      </c>
      <c r="I271" s="18" t="s">
        <v>65</v>
      </c>
      <c r="J271" s="13" t="s">
        <v>75</v>
      </c>
      <c r="K271" s="3" t="s">
        <v>36</v>
      </c>
      <c r="L271" s="4" t="s">
        <v>37</v>
      </c>
      <c r="M271" s="19"/>
      <c r="N271" s="13" t="str">
        <f>HYPERLINK("https://www.stromypodkontrolou.cz/map/tree/eb9fcfc1-f6fa-405f-85c7-690b2fb79ecd/f0075b24-3738-43a1-8eeb-7a46dc247217")</f>
        <v>https://www.stromypodkontrolou.cz/map/tree/eb9fcfc1-f6fa-405f-85c7-690b2fb79ecd/f0075b24-3738-43a1-8eeb-7a46dc247217</v>
      </c>
      <c r="O271" s="13" t="str">
        <f>HYPERLINK("https://www.mapy.cz?st=search&amp;fr=49.66290765 18.67762946")</f>
        <v>https://www.mapy.cz?st=search&amp;fr=49.66290765 18.67762946</v>
      </c>
    </row>
    <row r="272" spans="1:15" ht="36">
      <c r="A272" s="16"/>
      <c r="B272" s="13"/>
      <c r="C272" s="13"/>
      <c r="D272" s="18"/>
      <c r="E272" s="15"/>
      <c r="F272" s="13"/>
      <c r="G272" s="18"/>
      <c r="H272" s="18"/>
      <c r="I272" s="18"/>
      <c r="J272" s="13"/>
      <c r="K272" s="3" t="s">
        <v>38</v>
      </c>
      <c r="L272" s="4" t="s">
        <v>39</v>
      </c>
      <c r="M272" s="19"/>
      <c r="N272" s="13"/>
      <c r="O272" s="13"/>
    </row>
    <row r="273" spans="1:15" ht="36">
      <c r="A273" s="16">
        <v>220</v>
      </c>
      <c r="B273" s="13" t="s">
        <v>13</v>
      </c>
      <c r="C273" s="13" t="s">
        <v>442</v>
      </c>
      <c r="D273" s="18">
        <v>23</v>
      </c>
      <c r="E273" s="15" t="s">
        <v>40</v>
      </c>
      <c r="F273" s="13" t="s">
        <v>41</v>
      </c>
      <c r="G273" s="18" t="s">
        <v>294</v>
      </c>
      <c r="H273" s="18" t="s">
        <v>231</v>
      </c>
      <c r="I273" s="18" t="s">
        <v>17</v>
      </c>
      <c r="J273" s="13" t="s">
        <v>45</v>
      </c>
      <c r="K273" s="3" t="s">
        <v>38</v>
      </c>
      <c r="L273" s="4" t="s">
        <v>47</v>
      </c>
      <c r="M273" s="19"/>
      <c r="N273" s="13" t="str">
        <f>HYPERLINK("https://www.stromypodkontrolou.cz/map/tree/eb9fcfc1-f6fa-405f-85c7-690b2fb79ecd/d8788258-e4e0-499f-824e-c74558bc311f")</f>
        <v>https://www.stromypodkontrolou.cz/map/tree/eb9fcfc1-f6fa-405f-85c7-690b2fb79ecd/d8788258-e4e0-499f-824e-c74558bc311f</v>
      </c>
      <c r="O273" s="13" t="str">
        <f>HYPERLINK("https://www.mapy.cz?st=search&amp;fr=49.66288864 18.67774588")</f>
        <v>https://www.mapy.cz?st=search&amp;fr=49.66288864 18.67774588</v>
      </c>
    </row>
    <row r="274" spans="1:15" ht="36">
      <c r="A274" s="16"/>
      <c r="B274" s="13"/>
      <c r="C274" s="13"/>
      <c r="D274" s="18"/>
      <c r="E274" s="15"/>
      <c r="F274" s="13"/>
      <c r="G274" s="18"/>
      <c r="H274" s="18"/>
      <c r="I274" s="18"/>
      <c r="J274" s="13"/>
      <c r="K274" s="3" t="s">
        <v>36</v>
      </c>
      <c r="L274" s="4" t="s">
        <v>46</v>
      </c>
      <c r="M274" s="19"/>
      <c r="N274" s="13"/>
      <c r="O274" s="13"/>
    </row>
    <row r="275" spans="1:15" ht="120">
      <c r="A275" s="10">
        <v>221</v>
      </c>
      <c r="B275" s="3" t="s">
        <v>13</v>
      </c>
      <c r="C275" s="3" t="s">
        <v>442</v>
      </c>
      <c r="D275" s="4">
        <v>75</v>
      </c>
      <c r="E275" s="5" t="s">
        <v>91</v>
      </c>
      <c r="F275" s="3" t="s">
        <v>92</v>
      </c>
      <c r="G275" s="4" t="s">
        <v>220</v>
      </c>
      <c r="H275" s="4" t="s">
        <v>86</v>
      </c>
      <c r="I275" s="4" t="s">
        <v>87</v>
      </c>
      <c r="J275" s="3"/>
      <c r="K275" s="3" t="s">
        <v>36</v>
      </c>
      <c r="L275" s="4" t="s">
        <v>164</v>
      </c>
      <c r="M275" s="19"/>
      <c r="N275" s="3" t="str">
        <f>HYPERLINK("https://www.stromypodkontrolou.cz/map/tree/eb9fcfc1-f6fa-405f-85c7-690b2fb79ecd/e68858ae-8e7e-4d1a-a7b8-07d7f576d436")</f>
        <v>https://www.stromypodkontrolou.cz/map/tree/eb9fcfc1-f6fa-405f-85c7-690b2fb79ecd/e68858ae-8e7e-4d1a-a7b8-07d7f576d436</v>
      </c>
      <c r="O275" s="3" t="str">
        <f>HYPERLINK("https://www.mapy.cz?st=search&amp;fr=49.66327924 18.68074299")</f>
        <v>https://www.mapy.cz?st=search&amp;fr=49.66327924 18.68074299</v>
      </c>
    </row>
    <row r="276" spans="1:15" ht="36">
      <c r="A276" s="16">
        <v>222</v>
      </c>
      <c r="B276" s="13" t="s">
        <v>13</v>
      </c>
      <c r="C276" s="13" t="s">
        <v>443</v>
      </c>
      <c r="D276" s="18">
        <v>96</v>
      </c>
      <c r="E276" s="15" t="s">
        <v>40</v>
      </c>
      <c r="F276" s="13" t="s">
        <v>41</v>
      </c>
      <c r="G276" s="18" t="s">
        <v>200</v>
      </c>
      <c r="H276" s="18" t="s">
        <v>178</v>
      </c>
      <c r="I276" s="18" t="s">
        <v>65</v>
      </c>
      <c r="J276" s="13" t="s">
        <v>94</v>
      </c>
      <c r="K276" s="3" t="s">
        <v>36</v>
      </c>
      <c r="L276" s="4" t="s">
        <v>202</v>
      </c>
      <c r="M276" s="19"/>
      <c r="N276" s="13" t="str">
        <f>HYPERLINK("https://www.stromypodkontrolou.cz/map/tree/eb9fcfc1-f6fa-405f-85c7-690b2fb79ecd/574e4228-33e1-43d5-8239-7bca6673cf4d")</f>
        <v>https://www.stromypodkontrolou.cz/map/tree/eb9fcfc1-f6fa-405f-85c7-690b2fb79ecd/574e4228-33e1-43d5-8239-7bca6673cf4d</v>
      </c>
      <c r="O276" s="13" t="str">
        <f>HYPERLINK("https://www.mapy.cz?st=search&amp;fr=49.66269352 18.67798907")</f>
        <v>https://www.mapy.cz?st=search&amp;fr=49.66269352 18.67798907</v>
      </c>
    </row>
    <row r="277" spans="1:15" ht="36">
      <c r="A277" s="16"/>
      <c r="B277" s="13"/>
      <c r="C277" s="13"/>
      <c r="D277" s="18"/>
      <c r="E277" s="15"/>
      <c r="F277" s="13"/>
      <c r="G277" s="18"/>
      <c r="H277" s="18"/>
      <c r="I277" s="18"/>
      <c r="J277" s="13"/>
      <c r="K277" s="3" t="s">
        <v>38</v>
      </c>
      <c r="L277" s="4" t="s">
        <v>184</v>
      </c>
      <c r="M277" s="19"/>
      <c r="N277" s="13"/>
      <c r="O277" s="13"/>
    </row>
    <row r="278" spans="1:15" ht="36">
      <c r="A278" s="16">
        <v>223</v>
      </c>
      <c r="B278" s="13" t="s">
        <v>13</v>
      </c>
      <c r="C278" s="13" t="s">
        <v>443</v>
      </c>
      <c r="D278" s="18">
        <v>135</v>
      </c>
      <c r="E278" s="15" t="s">
        <v>40</v>
      </c>
      <c r="F278" s="13" t="s">
        <v>41</v>
      </c>
      <c r="G278" s="18" t="s">
        <v>162</v>
      </c>
      <c r="H278" s="18" t="s">
        <v>97</v>
      </c>
      <c r="I278" s="18" t="s">
        <v>87</v>
      </c>
      <c r="J278" s="13"/>
      <c r="K278" s="3" t="s">
        <v>89</v>
      </c>
      <c r="L278" s="4" t="s">
        <v>173</v>
      </c>
      <c r="M278" s="19"/>
      <c r="N278" s="13" t="str">
        <f>HYPERLINK("https://www.stromypodkontrolou.cz/map/tree/eb9fcfc1-f6fa-405f-85c7-690b2fb79ecd/0df81b82-697a-44d2-9f6b-7946adac8413")</f>
        <v>https://www.stromypodkontrolou.cz/map/tree/eb9fcfc1-f6fa-405f-85c7-690b2fb79ecd/0df81b82-697a-44d2-9f6b-7946adac8413</v>
      </c>
      <c r="O278" s="13" t="str">
        <f>HYPERLINK("https://www.mapy.cz?st=search&amp;fr=49.66247362 18.67987988")</f>
        <v>https://www.mapy.cz?st=search&amp;fr=49.66247362 18.67987988</v>
      </c>
    </row>
    <row r="279" spans="1:15" ht="12.75">
      <c r="A279" s="16"/>
      <c r="B279" s="13"/>
      <c r="C279" s="13"/>
      <c r="D279" s="18"/>
      <c r="E279" s="15"/>
      <c r="F279" s="13"/>
      <c r="G279" s="18"/>
      <c r="H279" s="18"/>
      <c r="I279" s="18"/>
      <c r="J279" s="13"/>
      <c r="K279" s="3" t="s">
        <v>38</v>
      </c>
      <c r="L279" s="4" t="s">
        <v>108</v>
      </c>
      <c r="M279" s="19"/>
      <c r="N279" s="13"/>
      <c r="O279" s="13"/>
    </row>
    <row r="280" spans="1:15" ht="36">
      <c r="A280" s="16"/>
      <c r="B280" s="13"/>
      <c r="C280" s="13"/>
      <c r="D280" s="18"/>
      <c r="E280" s="15"/>
      <c r="F280" s="13"/>
      <c r="G280" s="18"/>
      <c r="H280" s="18"/>
      <c r="I280" s="18"/>
      <c r="J280" s="13"/>
      <c r="K280" s="3" t="s">
        <v>36</v>
      </c>
      <c r="L280" s="4" t="s">
        <v>60</v>
      </c>
      <c r="M280" s="19"/>
      <c r="N280" s="13"/>
      <c r="O280" s="13"/>
    </row>
    <row r="281" spans="1:15" ht="120">
      <c r="A281" s="10">
        <v>224</v>
      </c>
      <c r="B281" s="3" t="s">
        <v>13</v>
      </c>
      <c r="C281" s="3" t="s">
        <v>443</v>
      </c>
      <c r="D281" s="4">
        <v>235</v>
      </c>
      <c r="E281" s="5" t="s">
        <v>91</v>
      </c>
      <c r="F281" s="3" t="s">
        <v>92</v>
      </c>
      <c r="G281" s="4" t="s">
        <v>64</v>
      </c>
      <c r="H281" s="4" t="s">
        <v>93</v>
      </c>
      <c r="I281" s="4" t="s">
        <v>27</v>
      </c>
      <c r="J281" s="3" t="s">
        <v>172</v>
      </c>
      <c r="K281" s="3" t="s">
        <v>89</v>
      </c>
      <c r="L281" s="4" t="s">
        <v>280</v>
      </c>
      <c r="M281" s="19"/>
      <c r="N281" s="3" t="str">
        <f>HYPERLINK("https://www.stromypodkontrolou.cz/map/tree/eb9fcfc1-f6fa-405f-85c7-690b2fb79ecd/019e28db-1f8e-455c-970b-29796dc975c3")</f>
        <v>https://www.stromypodkontrolou.cz/map/tree/eb9fcfc1-f6fa-405f-85c7-690b2fb79ecd/019e28db-1f8e-455c-970b-29796dc975c3</v>
      </c>
      <c r="O281" s="3" t="str">
        <f>HYPERLINK("https://www.mapy.cz?st=search&amp;fr=49.66271082 18.68222281")</f>
        <v>https://www.mapy.cz?st=search&amp;fr=49.66271082 18.68222281</v>
      </c>
    </row>
    <row r="282" spans="1:15" ht="24">
      <c r="A282" s="16">
        <v>225</v>
      </c>
      <c r="B282" s="13" t="s">
        <v>13</v>
      </c>
      <c r="C282" s="13" t="s">
        <v>444</v>
      </c>
      <c r="D282" s="18">
        <v>66</v>
      </c>
      <c r="E282" s="15" t="s">
        <v>445</v>
      </c>
      <c r="F282" s="13" t="s">
        <v>446</v>
      </c>
      <c r="G282" s="18" t="s">
        <v>162</v>
      </c>
      <c r="H282" s="18" t="s">
        <v>341</v>
      </c>
      <c r="I282" s="18" t="s">
        <v>17</v>
      </c>
      <c r="J282" s="13" t="s">
        <v>447</v>
      </c>
      <c r="K282" s="3" t="s">
        <v>89</v>
      </c>
      <c r="L282" s="4" t="s">
        <v>60</v>
      </c>
      <c r="M282" s="19"/>
      <c r="N282" s="13" t="str">
        <f>HYPERLINK("https://www.stromypodkontrolou.cz/map/tree/eb9fcfc1-f6fa-405f-85c7-690b2fb79ecd/d871844b-6f76-431d-84a4-240a83760362")</f>
        <v>https://www.stromypodkontrolou.cz/map/tree/eb9fcfc1-f6fa-405f-85c7-690b2fb79ecd/d871844b-6f76-431d-84a4-240a83760362</v>
      </c>
      <c r="O282" s="13" t="str">
        <f>HYPERLINK("https://www.mapy.cz?st=search&amp;fr=49.66404001 18.67536462")</f>
        <v>https://www.mapy.cz?st=search&amp;fr=49.66404001 18.67536462</v>
      </c>
    </row>
    <row r="283" spans="1:15" ht="36">
      <c r="A283" s="16"/>
      <c r="B283" s="13"/>
      <c r="C283" s="13"/>
      <c r="D283" s="18"/>
      <c r="E283" s="15"/>
      <c r="F283" s="13"/>
      <c r="G283" s="18"/>
      <c r="H283" s="18"/>
      <c r="I283" s="18"/>
      <c r="J283" s="13"/>
      <c r="K283" s="3" t="s">
        <v>71</v>
      </c>
      <c r="L283" s="4" t="s">
        <v>448</v>
      </c>
      <c r="M283" s="19"/>
      <c r="N283" s="13"/>
      <c r="O283" s="13"/>
    </row>
    <row r="284" spans="1:15" ht="120">
      <c r="A284" s="10">
        <v>226</v>
      </c>
      <c r="B284" s="3" t="s">
        <v>13</v>
      </c>
      <c r="C284" s="3" t="s">
        <v>444</v>
      </c>
      <c r="D284" s="4">
        <v>238</v>
      </c>
      <c r="E284" s="5" t="s">
        <v>91</v>
      </c>
      <c r="F284" s="3" t="s">
        <v>92</v>
      </c>
      <c r="G284" s="4" t="s">
        <v>127</v>
      </c>
      <c r="H284" s="4" t="s">
        <v>450</v>
      </c>
      <c r="I284" s="4" t="s">
        <v>99</v>
      </c>
      <c r="J284" s="3" t="s">
        <v>451</v>
      </c>
      <c r="K284" s="3" t="s">
        <v>129</v>
      </c>
      <c r="L284" s="4" t="s">
        <v>259</v>
      </c>
      <c r="M284" s="19"/>
      <c r="N284" s="3" t="str">
        <f>HYPERLINK("https://www.stromypodkontrolou.cz/map/tree/eb9fcfc1-f6fa-405f-85c7-690b2fb79ecd/fb3b3393-0960-4499-a71b-55575e2c3cb3")</f>
        <v>https://www.stromypodkontrolou.cz/map/tree/eb9fcfc1-f6fa-405f-85c7-690b2fb79ecd/fb3b3393-0960-4499-a71b-55575e2c3cb3</v>
      </c>
      <c r="O284" s="3" t="str">
        <f>HYPERLINK("https://www.mapy.cz?st=search&amp;fr=49.66424809 18.67404080")</f>
        <v>https://www.mapy.cz?st=search&amp;fr=49.66424809 18.67404080</v>
      </c>
    </row>
    <row r="285" spans="1:15" ht="120">
      <c r="A285" s="10">
        <v>227</v>
      </c>
      <c r="B285" s="3" t="s">
        <v>13</v>
      </c>
      <c r="C285" s="3" t="s">
        <v>444</v>
      </c>
      <c r="D285" s="4">
        <v>241</v>
      </c>
      <c r="E285" s="5" t="s">
        <v>91</v>
      </c>
      <c r="F285" s="3" t="s">
        <v>92</v>
      </c>
      <c r="G285" s="4" t="s">
        <v>78</v>
      </c>
      <c r="H285" s="4" t="s">
        <v>450</v>
      </c>
      <c r="I285" s="4" t="s">
        <v>87</v>
      </c>
      <c r="J285" s="3"/>
      <c r="K285" s="3" t="s">
        <v>129</v>
      </c>
      <c r="L285" s="4" t="s">
        <v>237</v>
      </c>
      <c r="M285" s="19"/>
      <c r="N285" s="3" t="str">
        <f>HYPERLINK("https://www.stromypodkontrolou.cz/map/tree/eb9fcfc1-f6fa-405f-85c7-690b2fb79ecd/7f8cd5a0-5e8d-4a51-8a0a-b00a8e90e56d")</f>
        <v>https://www.stromypodkontrolou.cz/map/tree/eb9fcfc1-f6fa-405f-85c7-690b2fb79ecd/7f8cd5a0-5e8d-4a51-8a0a-b00a8e90e56d</v>
      </c>
      <c r="O285" s="3" t="str">
        <f>HYPERLINK("https://www.mapy.cz?st=search&amp;fr=49.66432260 18.67392741")</f>
        <v>https://www.mapy.cz?st=search&amp;fr=49.66432260 18.67392741</v>
      </c>
    </row>
    <row r="286" spans="1:15" s="9" customFormat="1" ht="48">
      <c r="A286" s="17">
        <v>228</v>
      </c>
      <c r="B286" s="13" t="s">
        <v>13</v>
      </c>
      <c r="C286" s="13" t="s">
        <v>444</v>
      </c>
      <c r="D286" s="18">
        <v>279</v>
      </c>
      <c r="E286" s="15" t="s">
        <v>452</v>
      </c>
      <c r="F286" s="13" t="s">
        <v>453</v>
      </c>
      <c r="G286" s="18" t="s">
        <v>454</v>
      </c>
      <c r="H286" s="18" t="s">
        <v>86</v>
      </c>
      <c r="I286" s="18" t="s">
        <v>206</v>
      </c>
      <c r="J286" s="13" t="s">
        <v>455</v>
      </c>
      <c r="K286" s="3" t="s">
        <v>71</v>
      </c>
      <c r="L286" s="4" t="s">
        <v>456</v>
      </c>
      <c r="M286" s="19"/>
      <c r="N286" s="13" t="str">
        <f>HYPERLINK("https://www.stromypodkontrolou.cz/map/tree/eb9fcfc1-f6fa-405f-85c7-690b2fb79ecd/4625ca86-268e-463c-b608-14eaf225ab24")</f>
        <v>https://www.stromypodkontrolou.cz/map/tree/eb9fcfc1-f6fa-405f-85c7-690b2fb79ecd/4625ca86-268e-463c-b608-14eaf225ab24</v>
      </c>
      <c r="O286" s="13" t="str">
        <f>HYPERLINK("https://www.mapy.cz?st=search&amp;fr=49.66383520 18.67353251")</f>
        <v>https://www.mapy.cz?st=search&amp;fr=49.66383520 18.67353251</v>
      </c>
    </row>
    <row r="287" spans="1:15" s="9" customFormat="1" ht="12.75">
      <c r="A287" s="17"/>
      <c r="B287" s="13"/>
      <c r="C287" s="13"/>
      <c r="D287" s="18"/>
      <c r="E287" s="15"/>
      <c r="F287" s="13"/>
      <c r="G287" s="18"/>
      <c r="H287" s="18"/>
      <c r="I287" s="18"/>
      <c r="J287" s="13"/>
      <c r="K287" s="3" t="s">
        <v>129</v>
      </c>
      <c r="L287" s="4" t="s">
        <v>457</v>
      </c>
      <c r="M287" s="19"/>
      <c r="N287" s="13"/>
      <c r="O287" s="13"/>
    </row>
    <row r="288" spans="1:15" ht="120">
      <c r="A288" s="10">
        <v>229</v>
      </c>
      <c r="B288" s="3" t="s">
        <v>13</v>
      </c>
      <c r="C288" s="3" t="s">
        <v>444</v>
      </c>
      <c r="D288" s="4">
        <v>306</v>
      </c>
      <c r="E288" s="5" t="s">
        <v>458</v>
      </c>
      <c r="F288" s="3" t="s">
        <v>459</v>
      </c>
      <c r="G288" s="4" t="s">
        <v>27</v>
      </c>
      <c r="H288" s="4" t="s">
        <v>33</v>
      </c>
      <c r="I288" s="4" t="s">
        <v>21</v>
      </c>
      <c r="J288" s="3"/>
      <c r="K288" s="3" t="s">
        <v>112</v>
      </c>
      <c r="L288" s="4" t="s">
        <v>113</v>
      </c>
      <c r="M288" s="19"/>
      <c r="N288" s="3" t="str">
        <f>HYPERLINK("https://www.stromypodkontrolou.cz/map/tree/eb9fcfc1-f6fa-405f-85c7-690b2fb79ecd/44b764f3-fb0e-4ce4-87d6-666a555a6c2e")</f>
        <v>https://www.stromypodkontrolou.cz/map/tree/eb9fcfc1-f6fa-405f-85c7-690b2fb79ecd/44b764f3-fb0e-4ce4-87d6-666a555a6c2e</v>
      </c>
      <c r="O288" s="3" t="str">
        <f>HYPERLINK("https://www.mapy.cz?st=search&amp;fr=49.66550912 18.67488098")</f>
        <v>https://www.mapy.cz?st=search&amp;fr=49.66550912 18.67488098</v>
      </c>
    </row>
    <row r="289" spans="1:15" ht="120">
      <c r="A289" s="10">
        <v>230</v>
      </c>
      <c r="B289" s="3" t="s">
        <v>13</v>
      </c>
      <c r="C289" s="3" t="s">
        <v>444</v>
      </c>
      <c r="D289" s="4">
        <v>316</v>
      </c>
      <c r="E289" s="5" t="s">
        <v>121</v>
      </c>
      <c r="F289" s="3" t="s">
        <v>122</v>
      </c>
      <c r="G289" s="4" t="s">
        <v>50</v>
      </c>
      <c r="H289" s="4" t="s">
        <v>26</v>
      </c>
      <c r="I289" s="4" t="s">
        <v>21</v>
      </c>
      <c r="J289" s="3"/>
      <c r="K289" s="3" t="s">
        <v>23</v>
      </c>
      <c r="L289" s="4" t="s">
        <v>24</v>
      </c>
      <c r="M289" s="19"/>
      <c r="N289" s="3" t="str">
        <f>HYPERLINK("https://www.stromypodkontrolou.cz/map/tree/eb9fcfc1-f6fa-405f-85c7-690b2fb79ecd/3d37e7bb-0f92-4436-b02f-9eed5975a910")</f>
        <v>https://www.stromypodkontrolou.cz/map/tree/eb9fcfc1-f6fa-405f-85c7-690b2fb79ecd/3d37e7bb-0f92-4436-b02f-9eed5975a910</v>
      </c>
      <c r="O289" s="3" t="str">
        <f>HYPERLINK("https://www.mapy.cz?st=search&amp;fr=49.66408935 18.67425292")</f>
        <v>https://www.mapy.cz?st=search&amp;fr=49.66408935 18.67425292</v>
      </c>
    </row>
    <row r="290" spans="1:15" ht="120">
      <c r="A290" s="10">
        <v>231</v>
      </c>
      <c r="B290" s="3" t="s">
        <v>13</v>
      </c>
      <c r="C290" s="3" t="s">
        <v>460</v>
      </c>
      <c r="D290" s="4">
        <v>20</v>
      </c>
      <c r="E290" s="5" t="s">
        <v>175</v>
      </c>
      <c r="F290" s="3" t="s">
        <v>176</v>
      </c>
      <c r="G290" s="4" t="s">
        <v>294</v>
      </c>
      <c r="H290" s="4" t="s">
        <v>49</v>
      </c>
      <c r="I290" s="4" t="s">
        <v>17</v>
      </c>
      <c r="J290" s="3" t="s">
        <v>75</v>
      </c>
      <c r="K290" s="3" t="s">
        <v>38</v>
      </c>
      <c r="L290" s="4" t="s">
        <v>52</v>
      </c>
      <c r="M290" s="19"/>
      <c r="N290" s="3" t="str">
        <f>HYPERLINK("https://www.stromypodkontrolou.cz/map/tree/eb9fcfc1-f6fa-405f-85c7-690b2fb79ecd/465ce7a8-3e1d-44f8-8bae-ff3361c1ab7a")</f>
        <v>https://www.stromypodkontrolou.cz/map/tree/eb9fcfc1-f6fa-405f-85c7-690b2fb79ecd/465ce7a8-3e1d-44f8-8bae-ff3361c1ab7a</v>
      </c>
      <c r="O290" s="3" t="str">
        <f>HYPERLINK("https://www.mapy.cz?st=search&amp;fr=49.66851105 18.68147958")</f>
        <v>https://www.mapy.cz?st=search&amp;fr=49.66851105 18.68147958</v>
      </c>
    </row>
    <row r="291" spans="1:15" ht="36">
      <c r="A291" s="16">
        <v>232</v>
      </c>
      <c r="B291" s="13" t="s">
        <v>13</v>
      </c>
      <c r="C291" s="13" t="s">
        <v>460</v>
      </c>
      <c r="D291" s="18">
        <v>42</v>
      </c>
      <c r="E291" s="15" t="s">
        <v>40</v>
      </c>
      <c r="F291" s="13" t="s">
        <v>41</v>
      </c>
      <c r="G291" s="18" t="s">
        <v>177</v>
      </c>
      <c r="H291" s="18" t="s">
        <v>97</v>
      </c>
      <c r="I291" s="18" t="s">
        <v>65</v>
      </c>
      <c r="J291" s="13"/>
      <c r="K291" s="3" t="s">
        <v>36</v>
      </c>
      <c r="L291" s="4" t="s">
        <v>202</v>
      </c>
      <c r="M291" s="19"/>
      <c r="N291" s="13" t="str">
        <f>HYPERLINK("https://www.stromypodkontrolou.cz/map/tree/eb9fcfc1-f6fa-405f-85c7-690b2fb79ecd/56f1dd80-9037-42cf-a63b-3e965047813e")</f>
        <v>https://www.stromypodkontrolou.cz/map/tree/eb9fcfc1-f6fa-405f-85c7-690b2fb79ecd/56f1dd80-9037-42cf-a63b-3e965047813e</v>
      </c>
      <c r="O291" s="13" t="str">
        <f>HYPERLINK("https://www.mapy.cz?st=search&amp;fr=49.66859762 18.68019774")</f>
        <v>https://www.mapy.cz?st=search&amp;fr=49.66859762 18.68019774</v>
      </c>
    </row>
    <row r="292" spans="1:15" ht="12.75">
      <c r="A292" s="16"/>
      <c r="B292" s="13"/>
      <c r="C292" s="13"/>
      <c r="D292" s="18"/>
      <c r="E292" s="15"/>
      <c r="F292" s="13"/>
      <c r="G292" s="18"/>
      <c r="H292" s="18"/>
      <c r="I292" s="18"/>
      <c r="J292" s="13"/>
      <c r="K292" s="3" t="s">
        <v>38</v>
      </c>
      <c r="L292" s="4" t="s">
        <v>67</v>
      </c>
      <c r="M292" s="19"/>
      <c r="N292" s="13"/>
      <c r="O292" s="13"/>
    </row>
    <row r="293" spans="1:15" ht="120">
      <c r="A293" s="10">
        <v>233</v>
      </c>
      <c r="B293" s="3" t="s">
        <v>13</v>
      </c>
      <c r="C293" s="3" t="s">
        <v>460</v>
      </c>
      <c r="D293" s="4">
        <v>84</v>
      </c>
      <c r="E293" s="5" t="s">
        <v>40</v>
      </c>
      <c r="F293" s="3" t="s">
        <v>41</v>
      </c>
      <c r="G293" s="4" t="s">
        <v>42</v>
      </c>
      <c r="H293" s="4" t="s">
        <v>43</v>
      </c>
      <c r="I293" s="4" t="s">
        <v>65</v>
      </c>
      <c r="J293" s="3" t="s">
        <v>45</v>
      </c>
      <c r="K293" s="3" t="s">
        <v>71</v>
      </c>
      <c r="L293" s="4" t="s">
        <v>158</v>
      </c>
      <c r="M293" s="19"/>
      <c r="N293" s="3" t="str">
        <f>HYPERLINK("https://www.stromypodkontrolou.cz/map/tree/eb9fcfc1-f6fa-405f-85c7-690b2fb79ecd/6a5ff997-7995-435c-bc17-08891d30c57c")</f>
        <v>https://www.stromypodkontrolou.cz/map/tree/eb9fcfc1-f6fa-405f-85c7-690b2fb79ecd/6a5ff997-7995-435c-bc17-08891d30c57c</v>
      </c>
      <c r="O293" s="3" t="str">
        <f>HYPERLINK("https://www.mapy.cz?st=search&amp;fr=49.66767944 18.68169126")</f>
        <v>https://www.mapy.cz?st=search&amp;fr=49.66767944 18.68169126</v>
      </c>
    </row>
    <row r="294" spans="1:15" ht="120">
      <c r="A294" s="10">
        <v>234</v>
      </c>
      <c r="B294" s="3" t="s">
        <v>13</v>
      </c>
      <c r="C294" s="3" t="s">
        <v>461</v>
      </c>
      <c r="D294" s="4">
        <v>5</v>
      </c>
      <c r="E294" s="5" t="s">
        <v>115</v>
      </c>
      <c r="F294" s="3" t="s">
        <v>116</v>
      </c>
      <c r="G294" s="4" t="s">
        <v>27</v>
      </c>
      <c r="H294" s="4" t="s">
        <v>18</v>
      </c>
      <c r="I294" s="4" t="s">
        <v>21</v>
      </c>
      <c r="J294" s="3" t="s">
        <v>420</v>
      </c>
      <c r="K294" s="3" t="s">
        <v>23</v>
      </c>
      <c r="L294" s="4" t="s">
        <v>24</v>
      </c>
      <c r="M294" s="19"/>
      <c r="N294" s="3" t="str">
        <f>HYPERLINK("https://www.stromypodkontrolou.cz/map/tree/eb9fcfc1-f6fa-405f-85c7-690b2fb79ecd/a3c0696b-5aec-49f8-834f-5aa2940969b3")</f>
        <v>https://www.stromypodkontrolou.cz/map/tree/eb9fcfc1-f6fa-405f-85c7-690b2fb79ecd/a3c0696b-5aec-49f8-834f-5aa2940969b3</v>
      </c>
      <c r="O294" s="3" t="str">
        <f>HYPERLINK("https://www.mapy.cz?st=search&amp;fr=49.67999323 18.67769297")</f>
        <v>https://www.mapy.cz?st=search&amp;fr=49.67999323 18.67769297</v>
      </c>
    </row>
    <row r="295" spans="1:15" ht="120">
      <c r="A295" s="10">
        <v>235</v>
      </c>
      <c r="B295" s="3" t="s">
        <v>13</v>
      </c>
      <c r="C295" s="3" t="s">
        <v>461</v>
      </c>
      <c r="D295" s="4">
        <v>11</v>
      </c>
      <c r="E295" s="5" t="s">
        <v>115</v>
      </c>
      <c r="F295" s="3" t="s">
        <v>116</v>
      </c>
      <c r="G295" s="4" t="s">
        <v>65</v>
      </c>
      <c r="H295" s="4" t="s">
        <v>111</v>
      </c>
      <c r="I295" s="4" t="s">
        <v>27</v>
      </c>
      <c r="J295" s="3"/>
      <c r="K295" s="3" t="s">
        <v>23</v>
      </c>
      <c r="L295" s="4" t="s">
        <v>118</v>
      </c>
      <c r="M295" s="19"/>
      <c r="N295" s="3" t="str">
        <f>HYPERLINK("https://www.stromypodkontrolou.cz/map/tree/eb9fcfc1-f6fa-405f-85c7-690b2fb79ecd/ed981b25-0321-42af-ab2f-fc9804ad230d")</f>
        <v>https://www.stromypodkontrolou.cz/map/tree/eb9fcfc1-f6fa-405f-85c7-690b2fb79ecd/ed981b25-0321-42af-ab2f-fc9804ad230d</v>
      </c>
      <c r="O295" s="3" t="str">
        <f>HYPERLINK("https://www.mapy.cz?st=search&amp;fr=49.67985677 18.67779791")</f>
        <v>https://www.mapy.cz?st=search&amp;fr=49.67985677 18.67779791</v>
      </c>
    </row>
    <row r="296" spans="1:15" ht="120">
      <c r="A296" s="10">
        <v>236</v>
      </c>
      <c r="B296" s="3" t="s">
        <v>13</v>
      </c>
      <c r="C296" s="3" t="s">
        <v>461</v>
      </c>
      <c r="D296" s="4">
        <v>12</v>
      </c>
      <c r="E296" s="5" t="s">
        <v>115</v>
      </c>
      <c r="F296" s="3" t="s">
        <v>116</v>
      </c>
      <c r="G296" s="4" t="s">
        <v>17</v>
      </c>
      <c r="H296" s="4" t="s">
        <v>117</v>
      </c>
      <c r="I296" s="4" t="s">
        <v>50</v>
      </c>
      <c r="J296" s="3"/>
      <c r="K296" s="3" t="s">
        <v>23</v>
      </c>
      <c r="L296" s="4" t="s">
        <v>118</v>
      </c>
      <c r="M296" s="19"/>
      <c r="N296" s="3" t="str">
        <f>HYPERLINK("https://www.stromypodkontrolou.cz/map/tree/eb9fcfc1-f6fa-405f-85c7-690b2fb79ecd/abdf46d6-3617-42e1-a2e2-3461b34361c4")</f>
        <v>https://www.stromypodkontrolou.cz/map/tree/eb9fcfc1-f6fa-405f-85c7-690b2fb79ecd/abdf46d6-3617-42e1-a2e2-3461b34361c4</v>
      </c>
      <c r="O296" s="3" t="str">
        <f>HYPERLINK("https://www.mapy.cz?st=search&amp;fr=49.67989495 18.67775567")</f>
        <v>https://www.mapy.cz?st=search&amp;fr=49.67989495 18.67775567</v>
      </c>
    </row>
    <row r="297" spans="1:15" ht="120">
      <c r="A297" s="10">
        <v>237</v>
      </c>
      <c r="B297" s="3" t="s">
        <v>13</v>
      </c>
      <c r="C297" s="3" t="s">
        <v>461</v>
      </c>
      <c r="D297" s="4">
        <v>16</v>
      </c>
      <c r="E297" s="5" t="s">
        <v>76</v>
      </c>
      <c r="F297" s="3" t="s">
        <v>77</v>
      </c>
      <c r="G297" s="4" t="s">
        <v>65</v>
      </c>
      <c r="H297" s="4" t="s">
        <v>231</v>
      </c>
      <c r="I297" s="4" t="s">
        <v>20</v>
      </c>
      <c r="J297" s="3"/>
      <c r="K297" s="3" t="s">
        <v>23</v>
      </c>
      <c r="L297" s="4" t="s">
        <v>118</v>
      </c>
      <c r="M297" s="19"/>
      <c r="N297" s="3" t="str">
        <f>HYPERLINK("https://www.stromypodkontrolou.cz/map/tree/eb9fcfc1-f6fa-405f-85c7-690b2fb79ecd/49fd07c2-7bf9-4ed9-b07a-41f1f8adf1aa")</f>
        <v>https://www.stromypodkontrolou.cz/map/tree/eb9fcfc1-f6fa-405f-85c7-690b2fb79ecd/49fd07c2-7bf9-4ed9-b07a-41f1f8adf1aa</v>
      </c>
      <c r="O297" s="3" t="str">
        <f>HYPERLINK("https://www.mapy.cz?st=search&amp;fr=49.67979711 18.67767621")</f>
        <v>https://www.mapy.cz?st=search&amp;fr=49.67979711 18.67767621</v>
      </c>
    </row>
    <row r="298" spans="1:15" ht="120">
      <c r="A298" s="10">
        <v>238</v>
      </c>
      <c r="B298" s="3" t="s">
        <v>13</v>
      </c>
      <c r="C298" s="3" t="s">
        <v>462</v>
      </c>
      <c r="D298" s="4">
        <v>1</v>
      </c>
      <c r="E298" s="5" t="s">
        <v>175</v>
      </c>
      <c r="F298" s="3" t="s">
        <v>176</v>
      </c>
      <c r="G298" s="4" t="s">
        <v>27</v>
      </c>
      <c r="H298" s="4" t="s">
        <v>26</v>
      </c>
      <c r="I298" s="4" t="s">
        <v>21</v>
      </c>
      <c r="J298" s="3"/>
      <c r="K298" s="3" t="s">
        <v>23</v>
      </c>
      <c r="L298" s="4" t="s">
        <v>24</v>
      </c>
      <c r="M298" s="19"/>
      <c r="N298" s="3" t="str">
        <f>HYPERLINK("https://www.stromypodkontrolou.cz/map/tree/eb9fcfc1-f6fa-405f-85c7-690b2fb79ecd/7f9c89a0-bdb7-44ce-9615-8a2d769545bf")</f>
        <v>https://www.stromypodkontrolou.cz/map/tree/eb9fcfc1-f6fa-405f-85c7-690b2fb79ecd/7f9c89a0-bdb7-44ce-9615-8a2d769545bf</v>
      </c>
      <c r="O298" s="3" t="str">
        <f>HYPERLINK("https://www.mapy.cz?st=search&amp;fr=49.68501057 18.67017568")</f>
        <v>https://www.mapy.cz?st=search&amp;fr=49.68501057 18.67017568</v>
      </c>
    </row>
    <row r="299" spans="1:15" ht="120">
      <c r="A299" s="10">
        <v>239</v>
      </c>
      <c r="B299" s="3" t="s">
        <v>13</v>
      </c>
      <c r="C299" s="3" t="s">
        <v>463</v>
      </c>
      <c r="D299" s="4">
        <v>7</v>
      </c>
      <c r="E299" s="5" t="s">
        <v>364</v>
      </c>
      <c r="F299" s="3" t="s">
        <v>365</v>
      </c>
      <c r="G299" s="4" t="s">
        <v>464</v>
      </c>
      <c r="H299" s="4" t="s">
        <v>117</v>
      </c>
      <c r="I299" s="4" t="s">
        <v>50</v>
      </c>
      <c r="J299" s="3" t="s">
        <v>45</v>
      </c>
      <c r="K299" s="3" t="s">
        <v>71</v>
      </c>
      <c r="L299" s="4" t="s">
        <v>465</v>
      </c>
      <c r="M299" s="19"/>
      <c r="N299" s="3" t="str">
        <f>HYPERLINK("https://www.stromypodkontrolou.cz/map/tree/eb9fcfc1-f6fa-405f-85c7-690b2fb79ecd/96411867-4ebd-40cc-88ce-70ac5e99b80b")</f>
        <v>https://www.stromypodkontrolou.cz/map/tree/eb9fcfc1-f6fa-405f-85c7-690b2fb79ecd/96411867-4ebd-40cc-88ce-70ac5e99b80b</v>
      </c>
      <c r="O299" s="3" t="str">
        <f>HYPERLINK("https://www.mapy.cz?st=search&amp;fr=49.67778177 18.66993092")</f>
        <v>https://www.mapy.cz?st=search&amp;fr=49.67778177 18.66993092</v>
      </c>
    </row>
    <row r="300" spans="1:15" ht="36">
      <c r="A300" s="16">
        <v>240</v>
      </c>
      <c r="B300" s="13" t="s">
        <v>13</v>
      </c>
      <c r="C300" s="13" t="s">
        <v>466</v>
      </c>
      <c r="D300" s="18">
        <v>118</v>
      </c>
      <c r="E300" s="15" t="s">
        <v>29</v>
      </c>
      <c r="F300" s="13" t="s">
        <v>30</v>
      </c>
      <c r="G300" s="18" t="s">
        <v>96</v>
      </c>
      <c r="H300" s="18" t="s">
        <v>43</v>
      </c>
      <c r="I300" s="18" t="s">
        <v>87</v>
      </c>
      <c r="J300" s="13" t="s">
        <v>467</v>
      </c>
      <c r="K300" s="3" t="s">
        <v>89</v>
      </c>
      <c r="L300" s="4" t="s">
        <v>280</v>
      </c>
      <c r="M300" s="19"/>
      <c r="N300" s="13" t="str">
        <f>HYPERLINK("https://www.stromypodkontrolou.cz/map/tree/eb9fcfc1-f6fa-405f-85c7-690b2fb79ecd/59135006-c7c8-4c61-9792-345db02bda01")</f>
        <v>https://www.stromypodkontrolou.cz/map/tree/eb9fcfc1-f6fa-405f-85c7-690b2fb79ecd/59135006-c7c8-4c61-9792-345db02bda01</v>
      </c>
      <c r="O300" s="13" t="str">
        <f>HYPERLINK("https://www.mapy.cz?st=search&amp;fr=49.67065735 18.66565038")</f>
        <v>https://www.mapy.cz?st=search&amp;fr=49.67065735 18.66565038</v>
      </c>
    </row>
    <row r="301" spans="1:15" ht="36">
      <c r="A301" s="16"/>
      <c r="B301" s="13"/>
      <c r="C301" s="13"/>
      <c r="D301" s="18"/>
      <c r="E301" s="15"/>
      <c r="F301" s="13"/>
      <c r="G301" s="18"/>
      <c r="H301" s="18"/>
      <c r="I301" s="18"/>
      <c r="J301" s="13"/>
      <c r="K301" s="3" t="s">
        <v>36</v>
      </c>
      <c r="L301" s="4" t="s">
        <v>53</v>
      </c>
      <c r="M301" s="19"/>
      <c r="N301" s="13"/>
      <c r="O301" s="13"/>
    </row>
    <row r="302" spans="1:15" ht="12.75">
      <c r="A302" s="16"/>
      <c r="B302" s="13"/>
      <c r="C302" s="13"/>
      <c r="D302" s="18"/>
      <c r="E302" s="15"/>
      <c r="F302" s="13"/>
      <c r="G302" s="18"/>
      <c r="H302" s="18"/>
      <c r="I302" s="18"/>
      <c r="J302" s="13"/>
      <c r="K302" s="3" t="s">
        <v>38</v>
      </c>
      <c r="L302" s="4" t="s">
        <v>159</v>
      </c>
      <c r="M302" s="19"/>
      <c r="N302" s="13"/>
      <c r="O302" s="13"/>
    </row>
    <row r="303" spans="1:15" ht="36">
      <c r="A303" s="16">
        <v>241</v>
      </c>
      <c r="B303" s="13" t="s">
        <v>13</v>
      </c>
      <c r="C303" s="13" t="s">
        <v>466</v>
      </c>
      <c r="D303" s="18">
        <v>122</v>
      </c>
      <c r="E303" s="15" t="s">
        <v>29</v>
      </c>
      <c r="F303" s="13" t="s">
        <v>30</v>
      </c>
      <c r="G303" s="18" t="s">
        <v>369</v>
      </c>
      <c r="H303" s="18" t="s">
        <v>182</v>
      </c>
      <c r="I303" s="18" t="s">
        <v>87</v>
      </c>
      <c r="J303" s="13" t="s">
        <v>469</v>
      </c>
      <c r="K303" s="3" t="s">
        <v>71</v>
      </c>
      <c r="L303" s="4" t="s">
        <v>470</v>
      </c>
      <c r="M303" s="19"/>
      <c r="N303" s="13" t="str">
        <f>HYPERLINK("https://www.stromypodkontrolou.cz/map/tree/eb9fcfc1-f6fa-405f-85c7-690b2fb79ecd/8f7551ee-abc1-473f-88fd-901cabda8fc1")</f>
        <v>https://www.stromypodkontrolou.cz/map/tree/eb9fcfc1-f6fa-405f-85c7-690b2fb79ecd/8f7551ee-abc1-473f-88fd-901cabda8fc1</v>
      </c>
      <c r="O303" s="13" t="str">
        <f>HYPERLINK("https://www.mapy.cz?st=search&amp;fr=49.67065816 18.66495111")</f>
        <v>https://www.mapy.cz?st=search&amp;fr=49.67065816 18.66495111</v>
      </c>
    </row>
    <row r="304" spans="1:15" ht="36">
      <c r="A304" s="16"/>
      <c r="B304" s="13"/>
      <c r="C304" s="13"/>
      <c r="D304" s="18"/>
      <c r="E304" s="15"/>
      <c r="F304" s="13"/>
      <c r="G304" s="18"/>
      <c r="H304" s="18"/>
      <c r="I304" s="18"/>
      <c r="J304" s="13"/>
      <c r="K304" s="3" t="s">
        <v>38</v>
      </c>
      <c r="L304" s="4" t="s">
        <v>184</v>
      </c>
      <c r="M304" s="19"/>
      <c r="N304" s="13"/>
      <c r="O304" s="13"/>
    </row>
    <row r="305" spans="1:15" ht="120">
      <c r="A305" s="10">
        <v>242</v>
      </c>
      <c r="B305" s="3" t="s">
        <v>13</v>
      </c>
      <c r="C305" s="3" t="s">
        <v>466</v>
      </c>
      <c r="D305" s="4">
        <v>127</v>
      </c>
      <c r="E305" s="5" t="s">
        <v>277</v>
      </c>
      <c r="F305" s="3" t="s">
        <v>278</v>
      </c>
      <c r="G305" s="4" t="s">
        <v>464</v>
      </c>
      <c r="H305" s="4" t="s">
        <v>213</v>
      </c>
      <c r="I305" s="4" t="s">
        <v>25</v>
      </c>
      <c r="J305" s="3"/>
      <c r="K305" s="3" t="s">
        <v>36</v>
      </c>
      <c r="L305" s="4" t="s">
        <v>304</v>
      </c>
      <c r="M305" s="19"/>
      <c r="N305" s="3" t="str">
        <f>HYPERLINK("https://www.stromypodkontrolou.cz/map/tree/eb9fcfc1-f6fa-405f-85c7-690b2fb79ecd/89f5f24e-45bb-4438-a386-c32988b7c65d")</f>
        <v>https://www.stromypodkontrolou.cz/map/tree/eb9fcfc1-f6fa-405f-85c7-690b2fb79ecd/89f5f24e-45bb-4438-a386-c32988b7c65d</v>
      </c>
      <c r="O305" s="3" t="str">
        <f>HYPERLINK("https://www.mapy.cz?st=search&amp;fr=49.67149877 18.67007444")</f>
        <v>https://www.mapy.cz?st=search&amp;fr=49.67149877 18.67007444</v>
      </c>
    </row>
    <row r="306" spans="1:15" ht="120">
      <c r="A306" s="10">
        <v>243</v>
      </c>
      <c r="B306" s="3" t="s">
        <v>13</v>
      </c>
      <c r="C306" s="3" t="s">
        <v>466</v>
      </c>
      <c r="D306" s="4">
        <v>131</v>
      </c>
      <c r="E306" s="5" t="s">
        <v>298</v>
      </c>
      <c r="F306" s="3" t="s">
        <v>299</v>
      </c>
      <c r="G306" s="4" t="s">
        <v>34</v>
      </c>
      <c r="H306" s="4" t="s">
        <v>26</v>
      </c>
      <c r="I306" s="4" t="s">
        <v>21</v>
      </c>
      <c r="J306" s="3"/>
      <c r="K306" s="3" t="s">
        <v>23</v>
      </c>
      <c r="L306" s="4" t="s">
        <v>24</v>
      </c>
      <c r="M306" s="19"/>
      <c r="N306" s="3" t="str">
        <f>HYPERLINK("https://www.stromypodkontrolou.cz/map/tree/eb9fcfc1-f6fa-405f-85c7-690b2fb79ecd/e121a6fd-2b1d-432d-be63-27b834bd65e0")</f>
        <v>https://www.stromypodkontrolou.cz/map/tree/eb9fcfc1-f6fa-405f-85c7-690b2fb79ecd/e121a6fd-2b1d-432d-be63-27b834bd65e0</v>
      </c>
      <c r="O306" s="3" t="str">
        <f>HYPERLINK("https://www.mapy.cz?st=search&amp;fr=49.67024481 18.66850339")</f>
        <v>https://www.mapy.cz?st=search&amp;fr=49.67024481 18.66850339</v>
      </c>
    </row>
    <row r="307" spans="1:15" ht="120">
      <c r="A307" s="10">
        <v>244</v>
      </c>
      <c r="B307" s="3" t="s">
        <v>13</v>
      </c>
      <c r="C307" s="3" t="s">
        <v>471</v>
      </c>
      <c r="D307" s="4">
        <v>48</v>
      </c>
      <c r="E307" s="5" t="s">
        <v>472</v>
      </c>
      <c r="F307" s="3" t="s">
        <v>473</v>
      </c>
      <c r="G307" s="4" t="s">
        <v>99</v>
      </c>
      <c r="H307" s="4" t="s">
        <v>111</v>
      </c>
      <c r="I307" s="4" t="s">
        <v>21</v>
      </c>
      <c r="J307" s="3" t="s">
        <v>172</v>
      </c>
      <c r="K307" s="3" t="s">
        <v>89</v>
      </c>
      <c r="L307" s="4" t="s">
        <v>149</v>
      </c>
      <c r="M307" s="19"/>
      <c r="N307" s="3" t="str">
        <f>HYPERLINK("https://www.stromypodkontrolou.cz/map/tree/eb9fcfc1-f6fa-405f-85c7-690b2fb79ecd/7e8da415-2073-4fcc-b610-b1da2d5ed16c")</f>
        <v>https://www.stromypodkontrolou.cz/map/tree/eb9fcfc1-f6fa-405f-85c7-690b2fb79ecd/7e8da415-2073-4fcc-b610-b1da2d5ed16c</v>
      </c>
      <c r="O307" s="3" t="str">
        <f>HYPERLINK("https://www.mapy.cz?st=search&amp;fr=49.66982234 18.66751634")</f>
        <v>https://www.mapy.cz?st=search&amp;fr=49.66982234 18.66751634</v>
      </c>
    </row>
    <row r="308" spans="1:15" ht="12.75" customHeight="1">
      <c r="A308" s="16">
        <v>245</v>
      </c>
      <c r="B308" s="13" t="s">
        <v>13</v>
      </c>
      <c r="C308" s="13" t="s">
        <v>474</v>
      </c>
      <c r="D308" s="18">
        <v>70</v>
      </c>
      <c r="E308" s="15" t="s">
        <v>76</v>
      </c>
      <c r="F308" s="13" t="s">
        <v>77</v>
      </c>
      <c r="G308" s="18" t="s">
        <v>141</v>
      </c>
      <c r="H308" s="18" t="s">
        <v>327</v>
      </c>
      <c r="I308" s="18" t="s">
        <v>27</v>
      </c>
      <c r="J308" s="13" t="s">
        <v>303</v>
      </c>
      <c r="K308" s="3" t="s">
        <v>38</v>
      </c>
      <c r="L308" s="4" t="s">
        <v>229</v>
      </c>
      <c r="M308" s="19"/>
      <c r="N308" s="13" t="str">
        <f>HYPERLINK("https://www.stromypodkontrolou.cz/map/tree/eb9fcfc1-f6fa-405f-85c7-690b2fb79ecd/3018baa2-12c3-42d4-89cf-a21aa5ec9ef0")</f>
        <v>https://www.stromypodkontrolou.cz/map/tree/eb9fcfc1-f6fa-405f-85c7-690b2fb79ecd/3018baa2-12c3-42d4-89cf-a21aa5ec9ef0</v>
      </c>
      <c r="O308" s="13" t="str">
        <f>HYPERLINK("https://www.mapy.cz?st=search&amp;fr=49.66955105 18.66700920")</f>
        <v>https://www.mapy.cz?st=search&amp;fr=49.66955105 18.66700920</v>
      </c>
    </row>
    <row r="309" spans="1:15" ht="24">
      <c r="A309" s="16"/>
      <c r="B309" s="13"/>
      <c r="C309" s="13"/>
      <c r="D309" s="18"/>
      <c r="E309" s="15"/>
      <c r="F309" s="13"/>
      <c r="G309" s="18"/>
      <c r="H309" s="18"/>
      <c r="I309" s="18"/>
      <c r="J309" s="13"/>
      <c r="K309" s="3" t="s">
        <v>112</v>
      </c>
      <c r="L309" s="4" t="s">
        <v>113</v>
      </c>
      <c r="M309" s="19"/>
      <c r="N309" s="13"/>
      <c r="O309" s="13"/>
    </row>
    <row r="310" spans="1:15" ht="120">
      <c r="A310" s="10">
        <v>246</v>
      </c>
      <c r="B310" s="3" t="s">
        <v>13</v>
      </c>
      <c r="C310" s="3" t="s">
        <v>474</v>
      </c>
      <c r="D310" s="4">
        <v>77</v>
      </c>
      <c r="E310" s="5" t="s">
        <v>475</v>
      </c>
      <c r="F310" s="3" t="s">
        <v>476</v>
      </c>
      <c r="G310" s="4" t="s">
        <v>25</v>
      </c>
      <c r="H310" s="4" t="s">
        <v>26</v>
      </c>
      <c r="I310" s="4" t="s">
        <v>21</v>
      </c>
      <c r="J310" s="3"/>
      <c r="K310" s="3" t="s">
        <v>23</v>
      </c>
      <c r="L310" s="4" t="s">
        <v>24</v>
      </c>
      <c r="M310" s="19"/>
      <c r="N310" s="3" t="str">
        <f>HYPERLINK("https://www.stromypodkontrolou.cz/map/tree/eb9fcfc1-f6fa-405f-85c7-690b2fb79ecd/4c692fa2-4d48-4090-a304-b567e686dc70")</f>
        <v>https://www.stromypodkontrolou.cz/map/tree/eb9fcfc1-f6fa-405f-85c7-690b2fb79ecd/4c692fa2-4d48-4090-a304-b567e686dc70</v>
      </c>
      <c r="O310" s="3" t="str">
        <f>HYPERLINK("https://www.mapy.cz?st=search&amp;fr=49.67047771 18.66710224")</f>
        <v>https://www.mapy.cz?st=search&amp;fr=49.67047771 18.66710224</v>
      </c>
    </row>
    <row r="311" spans="1:15" ht="120">
      <c r="A311" s="10">
        <v>247</v>
      </c>
      <c r="B311" s="3" t="s">
        <v>13</v>
      </c>
      <c r="C311" s="3" t="s">
        <v>474</v>
      </c>
      <c r="D311" s="4">
        <v>79</v>
      </c>
      <c r="E311" s="5" t="s">
        <v>475</v>
      </c>
      <c r="F311" s="3" t="s">
        <v>476</v>
      </c>
      <c r="G311" s="4" t="s">
        <v>80</v>
      </c>
      <c r="H311" s="4" t="s">
        <v>117</v>
      </c>
      <c r="I311" s="4" t="s">
        <v>50</v>
      </c>
      <c r="J311" s="3"/>
      <c r="K311" s="3" t="s">
        <v>38</v>
      </c>
      <c r="L311" s="4" t="s">
        <v>114</v>
      </c>
      <c r="M311" s="19"/>
      <c r="N311" s="3" t="str">
        <f>HYPERLINK("https://www.stromypodkontrolou.cz/map/tree/eb9fcfc1-f6fa-405f-85c7-690b2fb79ecd/1ebc8984-fb53-4583-b77c-52996e8906cd")</f>
        <v>https://www.stromypodkontrolou.cz/map/tree/eb9fcfc1-f6fa-405f-85c7-690b2fb79ecd/1ebc8984-fb53-4583-b77c-52996e8906cd</v>
      </c>
      <c r="O311" s="3" t="str">
        <f>HYPERLINK("https://www.mapy.cz?st=search&amp;fr=49.67047737 18.66719614")</f>
        <v>https://www.mapy.cz?st=search&amp;fr=49.67047737 18.66719614</v>
      </c>
    </row>
    <row r="312" spans="1:15" ht="120">
      <c r="A312" s="10">
        <v>248</v>
      </c>
      <c r="B312" s="3" t="s">
        <v>13</v>
      </c>
      <c r="C312" s="3" t="s">
        <v>474</v>
      </c>
      <c r="D312" s="4">
        <v>81</v>
      </c>
      <c r="E312" s="5" t="s">
        <v>76</v>
      </c>
      <c r="F312" s="3" t="s">
        <v>77</v>
      </c>
      <c r="G312" s="4" t="s">
        <v>27</v>
      </c>
      <c r="H312" s="4" t="s">
        <v>26</v>
      </c>
      <c r="I312" s="4" t="s">
        <v>22</v>
      </c>
      <c r="J312" s="3"/>
      <c r="K312" s="3" t="s">
        <v>23</v>
      </c>
      <c r="L312" s="4" t="s">
        <v>24</v>
      </c>
      <c r="M312" s="19"/>
      <c r="N312" s="3" t="str">
        <f>HYPERLINK("https://www.stromypodkontrolou.cz/map/tree/eb9fcfc1-f6fa-405f-85c7-690b2fb79ecd/8d51bb3f-4648-43bd-bde6-67847875f1f4")</f>
        <v>https://www.stromypodkontrolou.cz/map/tree/eb9fcfc1-f6fa-405f-85c7-690b2fb79ecd/8d51bb3f-4648-43bd-bde6-67847875f1f4</v>
      </c>
      <c r="O312" s="3" t="str">
        <f>HYPERLINK("https://www.mapy.cz?st=search&amp;fr=49.67056156 18.66647860")</f>
        <v>https://www.mapy.cz?st=search&amp;fr=49.67056156 18.66647860</v>
      </c>
    </row>
    <row r="313" spans="1:15" ht="12.75" customHeight="1">
      <c r="A313" s="16">
        <v>249</v>
      </c>
      <c r="B313" s="13" t="s">
        <v>13</v>
      </c>
      <c r="C313" s="13" t="s">
        <v>477</v>
      </c>
      <c r="D313" s="18">
        <v>44</v>
      </c>
      <c r="E313" s="15" t="s">
        <v>40</v>
      </c>
      <c r="F313" s="13" t="s">
        <v>41</v>
      </c>
      <c r="G313" s="18" t="s">
        <v>64</v>
      </c>
      <c r="H313" s="18" t="s">
        <v>178</v>
      </c>
      <c r="I313" s="18" t="s">
        <v>17</v>
      </c>
      <c r="J313" s="13"/>
      <c r="K313" s="3" t="s">
        <v>38</v>
      </c>
      <c r="L313" s="4" t="s">
        <v>159</v>
      </c>
      <c r="M313" s="19"/>
      <c r="N313" s="13" t="str">
        <f>HYPERLINK("https://www.stromypodkontrolou.cz/map/tree/eb9fcfc1-f6fa-405f-85c7-690b2fb79ecd/45c2227c-82e1-4e3f-8b4d-6bcf91e0bb70")</f>
        <v>https://www.stromypodkontrolou.cz/map/tree/eb9fcfc1-f6fa-405f-85c7-690b2fb79ecd/45c2227c-82e1-4e3f-8b4d-6bcf91e0bb70</v>
      </c>
      <c r="O313" s="13" t="str">
        <f>HYPERLINK("https://www.mapy.cz?st=search&amp;fr=49.66951193 18.67923919")</f>
        <v>https://www.mapy.cz?st=search&amp;fr=49.66951193 18.67923919</v>
      </c>
    </row>
    <row r="314" spans="1:15" ht="36">
      <c r="A314" s="16"/>
      <c r="B314" s="13"/>
      <c r="C314" s="13"/>
      <c r="D314" s="18"/>
      <c r="E314" s="15"/>
      <c r="F314" s="13"/>
      <c r="G314" s="18"/>
      <c r="H314" s="18"/>
      <c r="I314" s="18"/>
      <c r="J314" s="13"/>
      <c r="K314" s="3" t="s">
        <v>36</v>
      </c>
      <c r="L314" s="4" t="s">
        <v>53</v>
      </c>
      <c r="M314" s="19"/>
      <c r="N314" s="13"/>
      <c r="O314" s="13"/>
    </row>
    <row r="315" spans="1:15" ht="120">
      <c r="A315" s="10">
        <v>250</v>
      </c>
      <c r="B315" s="3" t="s">
        <v>13</v>
      </c>
      <c r="C315" s="3" t="s">
        <v>477</v>
      </c>
      <c r="D315" s="4">
        <v>78</v>
      </c>
      <c r="E315" s="5" t="s">
        <v>478</v>
      </c>
      <c r="F315" s="3" t="s">
        <v>479</v>
      </c>
      <c r="G315" s="4" t="s">
        <v>74</v>
      </c>
      <c r="H315" s="4" t="s">
        <v>327</v>
      </c>
      <c r="I315" s="4" t="s">
        <v>17</v>
      </c>
      <c r="J315" s="3" t="s">
        <v>480</v>
      </c>
      <c r="K315" s="3" t="s">
        <v>71</v>
      </c>
      <c r="L315" s="4" t="s">
        <v>481</v>
      </c>
      <c r="M315" s="19"/>
      <c r="N315" s="3" t="str">
        <f>HYPERLINK("https://www.stromypodkontrolou.cz/map/tree/eb9fcfc1-f6fa-405f-85c7-690b2fb79ecd/6bafc2e7-c3ce-425c-b164-6f51afc78a69")</f>
        <v>https://www.stromypodkontrolou.cz/map/tree/eb9fcfc1-f6fa-405f-85c7-690b2fb79ecd/6bafc2e7-c3ce-425c-b164-6f51afc78a69</v>
      </c>
      <c r="O315" s="3" t="str">
        <f>HYPERLINK("https://www.mapy.cz?st=search&amp;fr=49.67022089 18.68026758")</f>
        <v>https://www.mapy.cz?st=search&amp;fr=49.67022089 18.68026758</v>
      </c>
    </row>
    <row r="316" spans="1:15" ht="12.75" customHeight="1">
      <c r="A316" s="16">
        <v>251</v>
      </c>
      <c r="B316" s="13" t="s">
        <v>482</v>
      </c>
      <c r="C316" s="13" t="s">
        <v>483</v>
      </c>
      <c r="D316" s="14">
        <v>4</v>
      </c>
      <c r="E316" s="15" t="s">
        <v>175</v>
      </c>
      <c r="F316" s="13" t="s">
        <v>176</v>
      </c>
      <c r="G316" s="14" t="s">
        <v>27</v>
      </c>
      <c r="H316" s="14" t="s">
        <v>26</v>
      </c>
      <c r="I316" s="14" t="s">
        <v>21</v>
      </c>
      <c r="J316" s="13" t="s">
        <v>306</v>
      </c>
      <c r="K316" s="3" t="s">
        <v>23</v>
      </c>
      <c r="L316" s="7" t="s">
        <v>24</v>
      </c>
      <c r="M316" s="19"/>
      <c r="N316" s="13" t="str">
        <f>HYPERLINK("https://www.stromypodkontrolou.cz/map/tree/d5a9feae-08b7-4a08-a26f-b01f4eb3f1d0/d3bb3f4d-fc36-47ce-8812-980b05587ce7")</f>
        <v>https://www.stromypodkontrolou.cz/map/tree/d5a9feae-08b7-4a08-a26f-b01f4eb3f1d0/d3bb3f4d-fc36-47ce-8812-980b05587ce7</v>
      </c>
      <c r="O316" s="13" t="str">
        <f>HYPERLINK("https://www.mapy.cz?st=search&amp;fr=49.69420664 18.62914487")</f>
        <v>https://www.mapy.cz?st=search&amp;fr=49.69420664 18.62914487</v>
      </c>
    </row>
    <row r="317" spans="1:15" ht="36">
      <c r="A317" s="16"/>
      <c r="B317" s="13"/>
      <c r="C317" s="13"/>
      <c r="D317" s="14"/>
      <c r="E317" s="15"/>
      <c r="F317" s="13"/>
      <c r="G317" s="14"/>
      <c r="H317" s="14"/>
      <c r="I317" s="14"/>
      <c r="J317" s="13"/>
      <c r="K317" s="3" t="s">
        <v>430</v>
      </c>
      <c r="L317" s="7" t="s">
        <v>431</v>
      </c>
      <c r="M317" s="19"/>
      <c r="N317" s="13"/>
      <c r="O317" s="13"/>
    </row>
    <row r="318" spans="1:15" ht="120">
      <c r="A318" s="10">
        <v>252</v>
      </c>
      <c r="B318" s="3" t="s">
        <v>482</v>
      </c>
      <c r="C318" s="3" t="s">
        <v>483</v>
      </c>
      <c r="D318" s="7">
        <v>7</v>
      </c>
      <c r="E318" s="5" t="s">
        <v>175</v>
      </c>
      <c r="F318" s="3" t="s">
        <v>176</v>
      </c>
      <c r="G318" s="7" t="s">
        <v>50</v>
      </c>
      <c r="H318" s="7" t="s">
        <v>18</v>
      </c>
      <c r="I318" s="7" t="s">
        <v>21</v>
      </c>
      <c r="J318" s="3"/>
      <c r="K318" s="3" t="s">
        <v>23</v>
      </c>
      <c r="L318" s="7" t="s">
        <v>24</v>
      </c>
      <c r="M318" s="19"/>
      <c r="N318" s="3" t="str">
        <f>HYPERLINK("https://www.stromypodkontrolou.cz/map/tree/d5a9feae-08b7-4a08-a26f-b01f4eb3f1d0/723190ed-74f5-4f91-81d4-af6b46766c6b")</f>
        <v>https://www.stromypodkontrolou.cz/map/tree/d5a9feae-08b7-4a08-a26f-b01f4eb3f1d0/723190ed-74f5-4f91-81d4-af6b46766c6b</v>
      </c>
      <c r="O318" s="3" t="str">
        <f>HYPERLINK("https://www.mapy.cz?st=search&amp;fr=49.69409031 18.62937149")</f>
        <v>https://www.mapy.cz?st=search&amp;fr=49.69409031 18.62937149</v>
      </c>
    </row>
    <row r="319" spans="1:15" ht="120">
      <c r="A319" s="10">
        <v>253</v>
      </c>
      <c r="B319" s="3" t="s">
        <v>482</v>
      </c>
      <c r="C319" s="3" t="s">
        <v>483</v>
      </c>
      <c r="D319" s="7">
        <v>11</v>
      </c>
      <c r="E319" s="5" t="s">
        <v>175</v>
      </c>
      <c r="F319" s="3" t="s">
        <v>176</v>
      </c>
      <c r="G319" s="7" t="s">
        <v>50</v>
      </c>
      <c r="H319" s="7" t="s">
        <v>18</v>
      </c>
      <c r="I319" s="7" t="s">
        <v>21</v>
      </c>
      <c r="J319" s="3"/>
      <c r="K319" s="3" t="s">
        <v>23</v>
      </c>
      <c r="L319" s="7" t="s">
        <v>24</v>
      </c>
      <c r="M319" s="19"/>
      <c r="N319" s="3" t="str">
        <f>HYPERLINK("https://www.stromypodkontrolou.cz/map/tree/d5a9feae-08b7-4a08-a26f-b01f4eb3f1d0/d46643bd-1c03-473b-87f7-255b1a00a8de")</f>
        <v>https://www.stromypodkontrolou.cz/map/tree/d5a9feae-08b7-4a08-a26f-b01f4eb3f1d0/d46643bd-1c03-473b-87f7-255b1a00a8de</v>
      </c>
      <c r="O319" s="3" t="str">
        <f>HYPERLINK("https://www.mapy.cz?st=search&amp;fr=49.69430261 18.62895519")</f>
        <v>https://www.mapy.cz?st=search&amp;fr=49.69430261 18.62895519</v>
      </c>
    </row>
    <row r="320" spans="1:15" ht="120">
      <c r="A320" s="10">
        <v>254</v>
      </c>
      <c r="B320" s="3" t="s">
        <v>482</v>
      </c>
      <c r="C320" s="3" t="s">
        <v>483</v>
      </c>
      <c r="D320" s="7">
        <v>12</v>
      </c>
      <c r="E320" s="5" t="s">
        <v>175</v>
      </c>
      <c r="F320" s="3" t="s">
        <v>176</v>
      </c>
      <c r="G320" s="7" t="s">
        <v>50</v>
      </c>
      <c r="H320" s="7" t="s">
        <v>26</v>
      </c>
      <c r="I320" s="7" t="s">
        <v>22</v>
      </c>
      <c r="J320" s="3"/>
      <c r="K320" s="3" t="s">
        <v>23</v>
      </c>
      <c r="L320" s="7" t="s">
        <v>24</v>
      </c>
      <c r="M320" s="19"/>
      <c r="N320" s="3" t="str">
        <f>HYPERLINK("https://www.stromypodkontrolou.cz/map/tree/d5a9feae-08b7-4a08-a26f-b01f4eb3f1d0/d1a456c5-ba35-4400-9585-fbdca4c15789")</f>
        <v>https://www.stromypodkontrolou.cz/map/tree/d5a9feae-08b7-4a08-a26f-b01f4eb3f1d0/d1a456c5-ba35-4400-9585-fbdca4c15789</v>
      </c>
      <c r="O320" s="3" t="str">
        <f>HYPERLINK("https://www.mapy.cz?st=search&amp;fr=49.69434148 18.62888155")</f>
        <v>https://www.mapy.cz?st=search&amp;fr=49.69434148 18.62888155</v>
      </c>
    </row>
    <row r="321" spans="1:15" ht="120">
      <c r="A321" s="10">
        <v>255</v>
      </c>
      <c r="B321" s="3" t="s">
        <v>482</v>
      </c>
      <c r="C321" s="3" t="s">
        <v>483</v>
      </c>
      <c r="D321" s="7">
        <v>18</v>
      </c>
      <c r="E321" s="5" t="s">
        <v>175</v>
      </c>
      <c r="F321" s="3" t="s">
        <v>176</v>
      </c>
      <c r="G321" s="7" t="s">
        <v>27</v>
      </c>
      <c r="H321" s="7" t="s">
        <v>18</v>
      </c>
      <c r="I321" s="7" t="s">
        <v>21</v>
      </c>
      <c r="J321" s="3"/>
      <c r="K321" s="3" t="s">
        <v>23</v>
      </c>
      <c r="L321" s="7" t="s">
        <v>24</v>
      </c>
      <c r="M321" s="19"/>
      <c r="N321" s="3" t="str">
        <f>HYPERLINK("https://www.stromypodkontrolou.cz/map/tree/d5a9feae-08b7-4a08-a26f-b01f4eb3f1d0/88e111f7-806c-4ac9-b1bb-25dd011847b4")</f>
        <v>https://www.stromypodkontrolou.cz/map/tree/d5a9feae-08b7-4a08-a26f-b01f4eb3f1d0/88e111f7-806c-4ac9-b1bb-25dd011847b4</v>
      </c>
      <c r="O321" s="3" t="str">
        <f>HYPERLINK("https://www.mapy.cz?st=search&amp;fr=49.69440841 18.62894346")</f>
        <v>https://www.mapy.cz?st=search&amp;fr=49.69440841 18.62894346</v>
      </c>
    </row>
    <row r="322" spans="1:15" ht="120">
      <c r="A322" s="10">
        <v>256</v>
      </c>
      <c r="B322" s="3" t="s">
        <v>484</v>
      </c>
      <c r="C322" s="3" t="s">
        <v>485</v>
      </c>
      <c r="D322" s="7">
        <v>108</v>
      </c>
      <c r="E322" s="5" t="s">
        <v>76</v>
      </c>
      <c r="F322" s="3" t="s">
        <v>77</v>
      </c>
      <c r="G322" s="7" t="s">
        <v>486</v>
      </c>
      <c r="H322" s="7" t="s">
        <v>106</v>
      </c>
      <c r="I322" s="7" t="s">
        <v>135</v>
      </c>
      <c r="J322" s="3" t="s">
        <v>250</v>
      </c>
      <c r="K322" s="3" t="s">
        <v>38</v>
      </c>
      <c r="L322" s="7" t="s">
        <v>487</v>
      </c>
      <c r="M322" s="19"/>
      <c r="N322" s="3" t="str">
        <f>HYPERLINK("https://www.stromypodkontrolou.cz/map/tree/d5a9feae-08b7-4a08-a26f-b01f4eb3f1d0/d33dc52d-e61a-47fd-9229-d9e0215a0758")</f>
        <v>https://www.stromypodkontrolou.cz/map/tree/d5a9feae-08b7-4a08-a26f-b01f4eb3f1d0/d33dc52d-e61a-47fd-9229-d9e0215a0758</v>
      </c>
      <c r="O322" s="3" t="str">
        <f>HYPERLINK("https://www.mapy.cz?st=search&amp;fr=49.70363313 18.69663675")</f>
        <v>https://www.mapy.cz?st=search&amp;fr=49.70363313 18.69663675</v>
      </c>
    </row>
    <row r="323" spans="1:15" ht="120">
      <c r="A323" s="10">
        <v>257</v>
      </c>
      <c r="B323" s="3" t="s">
        <v>484</v>
      </c>
      <c r="C323" s="3" t="s">
        <v>485</v>
      </c>
      <c r="D323" s="7">
        <v>126</v>
      </c>
      <c r="E323" s="5" t="s">
        <v>76</v>
      </c>
      <c r="F323" s="3" t="s">
        <v>77</v>
      </c>
      <c r="G323" s="7" t="s">
        <v>50</v>
      </c>
      <c r="H323" s="7" t="s">
        <v>18</v>
      </c>
      <c r="I323" s="7" t="s">
        <v>22</v>
      </c>
      <c r="J323" s="3"/>
      <c r="K323" s="3" t="s">
        <v>23</v>
      </c>
      <c r="L323" s="7" t="s">
        <v>24</v>
      </c>
      <c r="M323" s="19"/>
      <c r="N323" s="3" t="str">
        <f>HYPERLINK("https://www.stromypodkontrolou.cz/map/tree/d5a9feae-08b7-4a08-a26f-b01f4eb3f1d0/a4ece2ba-664f-4fb9-b2da-8aecf65721dc")</f>
        <v>https://www.stromypodkontrolou.cz/map/tree/d5a9feae-08b7-4a08-a26f-b01f4eb3f1d0/a4ece2ba-664f-4fb9-b2da-8aecf65721dc</v>
      </c>
      <c r="O323" s="3" t="str">
        <f>HYPERLINK("https://www.mapy.cz?st=search&amp;fr=49.70389460 18.69856623")</f>
        <v>https://www.mapy.cz?st=search&amp;fr=49.70389460 18.69856623</v>
      </c>
    </row>
    <row r="324" spans="1:15" ht="120">
      <c r="A324" s="10">
        <v>258</v>
      </c>
      <c r="B324" s="3" t="s">
        <v>484</v>
      </c>
      <c r="C324" s="3" t="s">
        <v>485</v>
      </c>
      <c r="D324" s="7">
        <v>127</v>
      </c>
      <c r="E324" s="5" t="s">
        <v>29</v>
      </c>
      <c r="F324" s="3" t="s">
        <v>30</v>
      </c>
      <c r="G324" s="7" t="s">
        <v>50</v>
      </c>
      <c r="H324" s="7" t="s">
        <v>26</v>
      </c>
      <c r="I324" s="7" t="s">
        <v>22</v>
      </c>
      <c r="J324" s="3"/>
      <c r="K324" s="3" t="s">
        <v>23</v>
      </c>
      <c r="L324" s="7" t="s">
        <v>24</v>
      </c>
      <c r="M324" s="19"/>
      <c r="N324" s="3" t="str">
        <f>HYPERLINK("https://www.stromypodkontrolou.cz/map/tree/d5a9feae-08b7-4a08-a26f-b01f4eb3f1d0/06d2763c-87c3-4004-a39e-ec886a366bfd")</f>
        <v>https://www.stromypodkontrolou.cz/map/tree/d5a9feae-08b7-4a08-a26f-b01f4eb3f1d0/06d2763c-87c3-4004-a39e-ec886a366bfd</v>
      </c>
      <c r="O324" s="3" t="str">
        <f>HYPERLINK("https://www.mapy.cz?st=search&amp;fr=49.70386402 18.69865206")</f>
        <v>https://www.mapy.cz?st=search&amp;fr=49.70386402 18.69865206</v>
      </c>
    </row>
    <row r="325" spans="1:15" ht="120">
      <c r="A325" s="10">
        <v>259</v>
      </c>
      <c r="B325" s="3" t="s">
        <v>484</v>
      </c>
      <c r="C325" s="3" t="s">
        <v>485</v>
      </c>
      <c r="D325" s="7">
        <v>128</v>
      </c>
      <c r="E325" s="5" t="s">
        <v>40</v>
      </c>
      <c r="F325" s="3" t="s">
        <v>41</v>
      </c>
      <c r="G325" s="7" t="s">
        <v>50</v>
      </c>
      <c r="H325" s="7" t="s">
        <v>18</v>
      </c>
      <c r="I325" s="7" t="s">
        <v>22</v>
      </c>
      <c r="J325" s="3"/>
      <c r="K325" s="3" t="s">
        <v>23</v>
      </c>
      <c r="L325" s="7" t="s">
        <v>24</v>
      </c>
      <c r="M325" s="19"/>
      <c r="N325" s="3" t="str">
        <f>HYPERLINK("https://www.stromypodkontrolou.cz/map/tree/d5a9feae-08b7-4a08-a26f-b01f4eb3f1d0/4128f0d9-9e14-4f77-84a2-576b5f3aa4ad")</f>
        <v>https://www.stromypodkontrolou.cz/map/tree/d5a9feae-08b7-4a08-a26f-b01f4eb3f1d0/4128f0d9-9e14-4f77-84a2-576b5f3aa4ad</v>
      </c>
      <c r="O325" s="3" t="str">
        <f>HYPERLINK("https://www.mapy.cz?st=search&amp;fr=49.70386771 18.69887200")</f>
        <v>https://www.mapy.cz?st=search&amp;fr=49.70386771 18.69887200</v>
      </c>
    </row>
    <row r="326" spans="1:15" ht="120">
      <c r="A326" s="10">
        <v>260</v>
      </c>
      <c r="B326" s="3" t="s">
        <v>484</v>
      </c>
      <c r="C326" s="3" t="s">
        <v>485</v>
      </c>
      <c r="D326" s="7">
        <v>129</v>
      </c>
      <c r="E326" s="5" t="s">
        <v>488</v>
      </c>
      <c r="F326" s="3" t="s">
        <v>489</v>
      </c>
      <c r="G326" s="7" t="s">
        <v>50</v>
      </c>
      <c r="H326" s="7" t="s">
        <v>26</v>
      </c>
      <c r="I326" s="7" t="s">
        <v>22</v>
      </c>
      <c r="J326" s="3"/>
      <c r="K326" s="3" t="s">
        <v>23</v>
      </c>
      <c r="L326" s="7" t="s">
        <v>24</v>
      </c>
      <c r="M326" s="19"/>
      <c r="N326" s="3" t="str">
        <f>HYPERLINK("https://www.stromypodkontrolou.cz/map/tree/d5a9feae-08b7-4a08-a26f-b01f4eb3f1d0/4f31a86c-08b9-4fe9-94b0-23cf3d922537")</f>
        <v>https://www.stromypodkontrolou.cz/map/tree/d5a9feae-08b7-4a08-a26f-b01f4eb3f1d0/4f31a86c-08b9-4fe9-94b0-23cf3d922537</v>
      </c>
      <c r="O326" s="3" t="str">
        <f>HYPERLINK("https://www.mapy.cz?st=search&amp;fr=49.70385600 18.69894509")</f>
        <v>https://www.mapy.cz?st=search&amp;fr=49.70385600 18.69894509</v>
      </c>
    </row>
    <row r="327" spans="1:15" ht="120">
      <c r="A327" s="10">
        <v>261</v>
      </c>
      <c r="B327" s="3" t="s">
        <v>484</v>
      </c>
      <c r="C327" s="3" t="s">
        <v>485</v>
      </c>
      <c r="D327" s="7">
        <v>130</v>
      </c>
      <c r="E327" s="5" t="s">
        <v>91</v>
      </c>
      <c r="F327" s="3" t="s">
        <v>92</v>
      </c>
      <c r="G327" s="7" t="s">
        <v>27</v>
      </c>
      <c r="H327" s="7" t="s">
        <v>117</v>
      </c>
      <c r="I327" s="7" t="s">
        <v>21</v>
      </c>
      <c r="J327" s="3"/>
      <c r="K327" s="3" t="s">
        <v>23</v>
      </c>
      <c r="L327" s="7" t="s">
        <v>118</v>
      </c>
      <c r="M327" s="19"/>
      <c r="N327" s="3" t="str">
        <f>HYPERLINK("https://www.stromypodkontrolou.cz/map/tree/d5a9feae-08b7-4a08-a26f-b01f4eb3f1d0/e7e70888-8b2b-462b-84d3-26dc304cf0ee")</f>
        <v>https://www.stromypodkontrolou.cz/map/tree/d5a9feae-08b7-4a08-a26f-b01f4eb3f1d0/e7e70888-8b2b-462b-84d3-26dc304cf0ee</v>
      </c>
      <c r="O327" s="3" t="str">
        <f>HYPERLINK("https://www.mapy.cz?st=search&amp;fr=49.70376775 18.69937558")</f>
        <v>https://www.mapy.cz?st=search&amp;fr=49.70376775 18.69937558</v>
      </c>
    </row>
    <row r="328" spans="1:15" ht="120">
      <c r="A328" s="10">
        <v>262</v>
      </c>
      <c r="B328" s="3" t="s">
        <v>484</v>
      </c>
      <c r="C328" s="3" t="s">
        <v>485</v>
      </c>
      <c r="D328" s="7">
        <v>131</v>
      </c>
      <c r="E328" s="5" t="s">
        <v>29</v>
      </c>
      <c r="F328" s="3" t="s">
        <v>30</v>
      </c>
      <c r="G328" s="7" t="s">
        <v>27</v>
      </c>
      <c r="H328" s="7" t="s">
        <v>26</v>
      </c>
      <c r="I328" s="7" t="s">
        <v>22</v>
      </c>
      <c r="J328" s="3"/>
      <c r="K328" s="3" t="s">
        <v>23</v>
      </c>
      <c r="L328" s="7" t="s">
        <v>24</v>
      </c>
      <c r="M328" s="19"/>
      <c r="N328" s="3" t="str">
        <f>HYPERLINK("https://www.stromypodkontrolou.cz/map/tree/d5a9feae-08b7-4a08-a26f-b01f4eb3f1d0/eb1c623a-517e-44f2-ba3f-630fa80a60ed")</f>
        <v>https://www.stromypodkontrolou.cz/map/tree/d5a9feae-08b7-4a08-a26f-b01f4eb3f1d0/eb1c623a-517e-44f2-ba3f-630fa80a60ed</v>
      </c>
      <c r="O328" s="3" t="str">
        <f>HYPERLINK("https://www.mapy.cz?st=search&amp;fr=49.70364675 18.69967096")</f>
        <v>https://www.mapy.cz?st=search&amp;fr=49.70364675 18.69967096</v>
      </c>
    </row>
    <row r="329" spans="1:15" ht="120">
      <c r="A329" s="10">
        <v>263</v>
      </c>
      <c r="B329" s="3" t="s">
        <v>484</v>
      </c>
      <c r="C329" s="3" t="s">
        <v>485</v>
      </c>
      <c r="D329" s="7">
        <v>132</v>
      </c>
      <c r="E329" s="5" t="s">
        <v>91</v>
      </c>
      <c r="F329" s="3" t="s">
        <v>92</v>
      </c>
      <c r="G329" s="7" t="s">
        <v>50</v>
      </c>
      <c r="H329" s="7" t="s">
        <v>18</v>
      </c>
      <c r="I329" s="7" t="s">
        <v>21</v>
      </c>
      <c r="J329" s="3"/>
      <c r="K329" s="3" t="s">
        <v>23</v>
      </c>
      <c r="L329" s="7" t="s">
        <v>24</v>
      </c>
      <c r="M329" s="19"/>
      <c r="N329" s="3" t="str">
        <f>HYPERLINK("https://www.stromypodkontrolou.cz/map/tree/d5a9feae-08b7-4a08-a26f-b01f4eb3f1d0/9341d724-f1b1-418b-ac90-637297089638")</f>
        <v>https://www.stromypodkontrolou.cz/map/tree/d5a9feae-08b7-4a08-a26f-b01f4eb3f1d0/9341d724-f1b1-418b-ac90-637297089638</v>
      </c>
      <c r="O329" s="3" t="str">
        <f>HYPERLINK("https://www.mapy.cz?st=search&amp;fr=49.70404638 18.69302780")</f>
        <v>https://www.mapy.cz?st=search&amp;fr=49.70404638 18.69302780</v>
      </c>
    </row>
    <row r="330" spans="1:15" ht="120">
      <c r="A330" s="10">
        <v>264</v>
      </c>
      <c r="B330" s="3" t="s">
        <v>484</v>
      </c>
      <c r="C330" s="3" t="s">
        <v>485</v>
      </c>
      <c r="D330" s="7">
        <v>133</v>
      </c>
      <c r="E330" s="5" t="s">
        <v>29</v>
      </c>
      <c r="F330" s="3" t="s">
        <v>30</v>
      </c>
      <c r="G330" s="7" t="s">
        <v>27</v>
      </c>
      <c r="H330" s="7" t="s">
        <v>18</v>
      </c>
      <c r="I330" s="7" t="s">
        <v>22</v>
      </c>
      <c r="J330" s="3"/>
      <c r="K330" s="3" t="s">
        <v>23</v>
      </c>
      <c r="L330" s="7" t="s">
        <v>24</v>
      </c>
      <c r="M330" s="19"/>
      <c r="N330" s="3" t="str">
        <f>HYPERLINK("https://www.stromypodkontrolou.cz/map/tree/d5a9feae-08b7-4a08-a26f-b01f4eb3f1d0/b15d72b3-5943-4e7b-a399-b86881873e2b")</f>
        <v>https://www.stromypodkontrolou.cz/map/tree/d5a9feae-08b7-4a08-a26f-b01f4eb3f1d0/b15d72b3-5943-4e7b-a399-b86881873e2b</v>
      </c>
      <c r="O330" s="3" t="str">
        <f>HYPERLINK("https://www.mapy.cz?st=search&amp;fr=49.70386879 18.69122200")</f>
        <v>https://www.mapy.cz?st=search&amp;fr=49.70386879 18.69122200</v>
      </c>
    </row>
    <row r="331" spans="1:15" ht="120">
      <c r="A331" s="10">
        <v>265</v>
      </c>
      <c r="B331" s="3" t="s">
        <v>490</v>
      </c>
      <c r="C331" s="3" t="s">
        <v>491</v>
      </c>
      <c r="D331" s="7">
        <v>37</v>
      </c>
      <c r="E331" s="5" t="s">
        <v>492</v>
      </c>
      <c r="F331" s="3" t="s">
        <v>493</v>
      </c>
      <c r="G331" s="7" t="s">
        <v>17</v>
      </c>
      <c r="H331" s="7" t="s">
        <v>18</v>
      </c>
      <c r="I331" s="7" t="s">
        <v>21</v>
      </c>
      <c r="J331" s="3"/>
      <c r="K331" s="3" t="s">
        <v>23</v>
      </c>
      <c r="L331" s="7" t="s">
        <v>24</v>
      </c>
      <c r="M331" s="19"/>
      <c r="N331" s="3" t="str">
        <f>HYPERLINK("https://www.stromypodkontrolou.cz/map/tree/d5a9feae-08b7-4a08-a26f-b01f4eb3f1d0/5144fa62-6c9a-41a3-b11d-093d56f7a539")</f>
        <v>https://www.stromypodkontrolou.cz/map/tree/d5a9feae-08b7-4a08-a26f-b01f4eb3f1d0/5144fa62-6c9a-41a3-b11d-093d56f7a539</v>
      </c>
      <c r="O331" s="3" t="str">
        <f>HYPERLINK("https://www.mapy.cz?st=search&amp;fr=49.69960944 18.69990316")</f>
        <v>https://www.mapy.cz?st=search&amp;fr=49.69960944 18.69990316</v>
      </c>
    </row>
    <row r="332" spans="1:15" ht="120">
      <c r="A332" s="10">
        <v>266</v>
      </c>
      <c r="B332" s="3" t="s">
        <v>490</v>
      </c>
      <c r="C332" s="3" t="s">
        <v>491</v>
      </c>
      <c r="D332" s="7">
        <v>38</v>
      </c>
      <c r="E332" s="5" t="s">
        <v>121</v>
      </c>
      <c r="F332" s="3" t="s">
        <v>122</v>
      </c>
      <c r="G332" s="7" t="s">
        <v>87</v>
      </c>
      <c r="H332" s="7" t="s">
        <v>117</v>
      </c>
      <c r="I332" s="7" t="s">
        <v>20</v>
      </c>
      <c r="J332" s="3"/>
      <c r="K332" s="3" t="s">
        <v>23</v>
      </c>
      <c r="L332" s="7" t="s">
        <v>118</v>
      </c>
      <c r="M332" s="19"/>
      <c r="N332" s="3" t="str">
        <f>HYPERLINK("https://www.stromypodkontrolou.cz/map/tree/d5a9feae-08b7-4a08-a26f-b01f4eb3f1d0/d868dd38-b218-4813-9733-e769d57e2a49")</f>
        <v>https://www.stromypodkontrolou.cz/map/tree/d5a9feae-08b7-4a08-a26f-b01f4eb3f1d0/d868dd38-b218-4813-9733-e769d57e2a49</v>
      </c>
      <c r="O332" s="3" t="str">
        <f>HYPERLINK("https://www.mapy.cz?st=search&amp;fr=49.69965588 18.69995451")</f>
        <v>https://www.mapy.cz?st=search&amp;fr=49.69965588 18.69995451</v>
      </c>
    </row>
    <row r="333" spans="1:15" ht="120">
      <c r="A333" s="10">
        <v>267</v>
      </c>
      <c r="B333" s="3" t="s">
        <v>490</v>
      </c>
      <c r="C333" s="3" t="s">
        <v>491</v>
      </c>
      <c r="D333" s="7">
        <v>39</v>
      </c>
      <c r="E333" s="5" t="s">
        <v>492</v>
      </c>
      <c r="F333" s="3" t="s">
        <v>493</v>
      </c>
      <c r="G333" s="7" t="s">
        <v>99</v>
      </c>
      <c r="H333" s="7" t="s">
        <v>117</v>
      </c>
      <c r="I333" s="7" t="s">
        <v>20</v>
      </c>
      <c r="J333" s="3"/>
      <c r="K333" s="3" t="s">
        <v>23</v>
      </c>
      <c r="L333" s="7" t="s">
        <v>118</v>
      </c>
      <c r="M333" s="19"/>
      <c r="N333" s="3" t="str">
        <f>HYPERLINK("https://www.stromypodkontrolou.cz/map/tree/d5a9feae-08b7-4a08-a26f-b01f4eb3f1d0/0ccbb5cb-3472-42e8-b297-9aea98f2f155")</f>
        <v>https://www.stromypodkontrolou.cz/map/tree/d5a9feae-08b7-4a08-a26f-b01f4eb3f1d0/0ccbb5cb-3472-42e8-b297-9aea98f2f155</v>
      </c>
      <c r="O333" s="3" t="str">
        <f>HYPERLINK("https://www.mapy.cz?st=search&amp;fr=49.69969854 18.69999768")</f>
        <v>https://www.mapy.cz?st=search&amp;fr=49.69969854 18.69999768</v>
      </c>
    </row>
    <row r="334" spans="1:15" ht="120">
      <c r="A334" s="10">
        <v>268</v>
      </c>
      <c r="B334" s="3" t="s">
        <v>490</v>
      </c>
      <c r="C334" s="3" t="s">
        <v>491</v>
      </c>
      <c r="D334" s="7">
        <v>40</v>
      </c>
      <c r="E334" s="5" t="s">
        <v>492</v>
      </c>
      <c r="F334" s="3" t="s">
        <v>493</v>
      </c>
      <c r="G334" s="7" t="s">
        <v>65</v>
      </c>
      <c r="H334" s="7" t="s">
        <v>111</v>
      </c>
      <c r="I334" s="7" t="s">
        <v>20</v>
      </c>
      <c r="J334" s="3"/>
      <c r="K334" s="3" t="s">
        <v>23</v>
      </c>
      <c r="L334" s="7" t="s">
        <v>118</v>
      </c>
      <c r="M334" s="19"/>
      <c r="N334" s="3" t="str">
        <f>HYPERLINK("https://www.stromypodkontrolou.cz/map/tree/d5a9feae-08b7-4a08-a26f-b01f4eb3f1d0/ef66ba12-3d1c-46d1-b393-3e470ffdf2cf")</f>
        <v>https://www.stromypodkontrolou.cz/map/tree/d5a9feae-08b7-4a08-a26f-b01f4eb3f1d0/ef66ba12-3d1c-46d1-b393-3e470ffdf2cf</v>
      </c>
      <c r="O334" s="3" t="str">
        <f>HYPERLINK("https://www.mapy.cz?st=search&amp;fr=49.69973905 18.70004285")</f>
        <v>https://www.mapy.cz?st=search&amp;fr=49.69973905 18.70004285</v>
      </c>
    </row>
    <row r="335" spans="1:15" ht="36">
      <c r="A335" s="16">
        <v>269</v>
      </c>
      <c r="B335" s="13" t="s">
        <v>494</v>
      </c>
      <c r="C335" s="13" t="s">
        <v>495</v>
      </c>
      <c r="D335" s="14">
        <v>30</v>
      </c>
      <c r="E335" s="15" t="s">
        <v>211</v>
      </c>
      <c r="F335" s="13" t="s">
        <v>212</v>
      </c>
      <c r="G335" s="14" t="s">
        <v>80</v>
      </c>
      <c r="H335" s="14" t="s">
        <v>111</v>
      </c>
      <c r="I335" s="14" t="s">
        <v>50</v>
      </c>
      <c r="J335" s="13"/>
      <c r="K335" s="3" t="s">
        <v>36</v>
      </c>
      <c r="L335" s="7" t="s">
        <v>496</v>
      </c>
      <c r="M335" s="19"/>
      <c r="N335" s="13" t="str">
        <f>HYPERLINK("https://www.stromypodkontrolou.cz/map/tree/d5a9feae-08b7-4a08-a26f-b01f4eb3f1d0/e22bc83c-cb5e-4ed7-82d0-ee163b9018d6")</f>
        <v>https://www.stromypodkontrolou.cz/map/tree/d5a9feae-08b7-4a08-a26f-b01f4eb3f1d0/e22bc83c-cb5e-4ed7-82d0-ee163b9018d6</v>
      </c>
      <c r="O335" s="13" t="str">
        <f>HYPERLINK("https://www.mapy.cz?st=search&amp;fr=49.69823594 18.71031698")</f>
        <v>https://www.mapy.cz?st=search&amp;fr=49.69823594 18.71031698</v>
      </c>
    </row>
    <row r="336" spans="1:15" ht="36">
      <c r="A336" s="16"/>
      <c r="B336" s="13"/>
      <c r="C336" s="13"/>
      <c r="D336" s="14"/>
      <c r="E336" s="15"/>
      <c r="F336" s="13"/>
      <c r="G336" s="14"/>
      <c r="H336" s="14"/>
      <c r="I336" s="14"/>
      <c r="J336" s="13"/>
      <c r="K336" s="3" t="s">
        <v>38</v>
      </c>
      <c r="L336" s="7" t="s">
        <v>497</v>
      </c>
      <c r="M336" s="19"/>
      <c r="N336" s="13"/>
      <c r="O336" s="13"/>
    </row>
    <row r="337" spans="1:15" ht="120">
      <c r="A337" s="10">
        <v>270</v>
      </c>
      <c r="B337" s="3" t="s">
        <v>494</v>
      </c>
      <c r="C337" s="3" t="s">
        <v>495</v>
      </c>
      <c r="D337" s="7">
        <v>31</v>
      </c>
      <c r="E337" s="5" t="s">
        <v>175</v>
      </c>
      <c r="F337" s="3" t="s">
        <v>176</v>
      </c>
      <c r="G337" s="7" t="s">
        <v>230</v>
      </c>
      <c r="H337" s="7" t="s">
        <v>132</v>
      </c>
      <c r="I337" s="7" t="s">
        <v>27</v>
      </c>
      <c r="J337" s="3"/>
      <c r="K337" s="3" t="s">
        <v>38</v>
      </c>
      <c r="L337" s="7" t="s">
        <v>229</v>
      </c>
      <c r="M337" s="19"/>
      <c r="N337" s="3" t="str">
        <f>HYPERLINK("https://www.stromypodkontrolou.cz/map/tree/d5a9feae-08b7-4a08-a26f-b01f4eb3f1d0/7655718c-2b87-440f-9367-0caafa163efa")</f>
        <v>https://www.stromypodkontrolou.cz/map/tree/d5a9feae-08b7-4a08-a26f-b01f4eb3f1d0/7655718c-2b87-440f-9367-0caafa163efa</v>
      </c>
      <c r="O337" s="3" t="str">
        <f>HYPERLINK("https://www.mapy.cz?st=search&amp;fr=49.69817392 18.71026770")</f>
        <v>https://www.mapy.cz?st=search&amp;fr=49.69817392 18.71026770</v>
      </c>
    </row>
    <row r="338" spans="1:15" ht="120">
      <c r="A338" s="10">
        <v>271</v>
      </c>
      <c r="B338" s="3" t="s">
        <v>494</v>
      </c>
      <c r="C338" s="3" t="s">
        <v>495</v>
      </c>
      <c r="D338" s="7">
        <v>32</v>
      </c>
      <c r="E338" s="5" t="s">
        <v>123</v>
      </c>
      <c r="F338" s="3" t="s">
        <v>124</v>
      </c>
      <c r="G338" s="7" t="s">
        <v>262</v>
      </c>
      <c r="H338" s="7" t="s">
        <v>117</v>
      </c>
      <c r="I338" s="7" t="s">
        <v>27</v>
      </c>
      <c r="J338" s="3"/>
      <c r="K338" s="3" t="s">
        <v>36</v>
      </c>
      <c r="L338" s="7" t="s">
        <v>304</v>
      </c>
      <c r="M338" s="19"/>
      <c r="N338" s="3" t="str">
        <f>HYPERLINK("https://www.stromypodkontrolou.cz/map/tree/d5a9feae-08b7-4a08-a26f-b01f4eb3f1d0/68c7f948-0cb8-46e8-993b-52744f8ca40c")</f>
        <v>https://www.stromypodkontrolou.cz/map/tree/d5a9feae-08b7-4a08-a26f-b01f4eb3f1d0/68c7f948-0cb8-46e8-993b-52744f8ca40c</v>
      </c>
      <c r="O338" s="3" t="str">
        <f>HYPERLINK("https://www.mapy.cz?st=search&amp;fr=49.69809238 18.71020835")</f>
        <v>https://www.mapy.cz?st=search&amp;fr=49.69809238 18.71020835</v>
      </c>
    </row>
    <row r="339" spans="1:15" ht="120">
      <c r="A339" s="10">
        <v>272</v>
      </c>
      <c r="B339" s="3" t="s">
        <v>494</v>
      </c>
      <c r="C339" s="3" t="s">
        <v>495</v>
      </c>
      <c r="D339" s="7">
        <v>34</v>
      </c>
      <c r="E339" s="5" t="s">
        <v>115</v>
      </c>
      <c r="F339" s="3" t="s">
        <v>116</v>
      </c>
      <c r="G339" s="7" t="s">
        <v>243</v>
      </c>
      <c r="H339" s="7" t="s">
        <v>327</v>
      </c>
      <c r="I339" s="7" t="s">
        <v>25</v>
      </c>
      <c r="J339" s="3" t="s">
        <v>75</v>
      </c>
      <c r="K339" s="3" t="s">
        <v>38</v>
      </c>
      <c r="L339" s="7" t="s">
        <v>47</v>
      </c>
      <c r="M339" s="19"/>
      <c r="N339" s="3" t="str">
        <f>HYPERLINK("https://www.stromypodkontrolou.cz/map/tree/d5a9feae-08b7-4a08-a26f-b01f4eb3f1d0/b8d82395-1111-4921-9c8b-b17a066da022")</f>
        <v>https://www.stromypodkontrolou.cz/map/tree/d5a9feae-08b7-4a08-a26f-b01f4eb3f1d0/b8d82395-1111-4921-9c8b-b17a066da022</v>
      </c>
      <c r="O339" s="3" t="str">
        <f>HYPERLINK("https://www.mapy.cz?st=search&amp;fr=49.69792951 18.71008866")</f>
        <v>https://www.mapy.cz?st=search&amp;fr=49.69792951 18.71008866</v>
      </c>
    </row>
    <row r="340" spans="1:15" ht="36">
      <c r="A340" s="16">
        <v>273</v>
      </c>
      <c r="B340" s="13" t="s">
        <v>494</v>
      </c>
      <c r="C340" s="13" t="s">
        <v>495</v>
      </c>
      <c r="D340" s="14">
        <v>35</v>
      </c>
      <c r="E340" s="15" t="s">
        <v>115</v>
      </c>
      <c r="F340" s="13" t="s">
        <v>116</v>
      </c>
      <c r="G340" s="14" t="s">
        <v>468</v>
      </c>
      <c r="H340" s="14" t="s">
        <v>69</v>
      </c>
      <c r="I340" s="14" t="s">
        <v>34</v>
      </c>
      <c r="J340" s="13" t="s">
        <v>172</v>
      </c>
      <c r="K340" s="3" t="s">
        <v>36</v>
      </c>
      <c r="L340" s="7" t="s">
        <v>46</v>
      </c>
      <c r="M340" s="19"/>
      <c r="N340" s="13" t="str">
        <f>HYPERLINK("https://www.stromypodkontrolou.cz/map/tree/d5a9feae-08b7-4a08-a26f-b01f4eb3f1d0/d30a3a2c-2482-46c2-8133-ba5de838f771")</f>
        <v>https://www.stromypodkontrolou.cz/map/tree/d5a9feae-08b7-4a08-a26f-b01f4eb3f1d0/d30a3a2c-2482-46c2-8133-ba5de838f771</v>
      </c>
      <c r="O340" s="13" t="str">
        <f>HYPERLINK("https://www.mapy.cz?st=search&amp;fr=49.69784841 18.71002596")</f>
        <v>https://www.mapy.cz?st=search&amp;fr=49.69784841 18.71002596</v>
      </c>
    </row>
    <row r="341" spans="1:15" ht="12.75">
      <c r="A341" s="16"/>
      <c r="B341" s="13"/>
      <c r="C341" s="13"/>
      <c r="D341" s="14"/>
      <c r="E341" s="15"/>
      <c r="F341" s="13"/>
      <c r="G341" s="14"/>
      <c r="H341" s="14"/>
      <c r="I341" s="14"/>
      <c r="J341" s="13"/>
      <c r="K341" s="3" t="s">
        <v>38</v>
      </c>
      <c r="L341" s="7" t="s">
        <v>142</v>
      </c>
      <c r="M341" s="19"/>
      <c r="N341" s="13"/>
      <c r="O341" s="13"/>
    </row>
    <row r="342" spans="1:15" ht="36">
      <c r="A342" s="16"/>
      <c r="B342" s="13"/>
      <c r="C342" s="13"/>
      <c r="D342" s="14"/>
      <c r="E342" s="15"/>
      <c r="F342" s="13"/>
      <c r="G342" s="14"/>
      <c r="H342" s="14"/>
      <c r="I342" s="14"/>
      <c r="J342" s="13"/>
      <c r="K342" s="3" t="s">
        <v>89</v>
      </c>
      <c r="L342" s="7" t="s">
        <v>328</v>
      </c>
      <c r="M342" s="19"/>
      <c r="N342" s="13"/>
      <c r="O342" s="13"/>
    </row>
    <row r="343" spans="1:15" ht="120">
      <c r="A343" s="10">
        <v>274</v>
      </c>
      <c r="B343" s="3" t="s">
        <v>494</v>
      </c>
      <c r="C343" s="3" t="s">
        <v>495</v>
      </c>
      <c r="D343" s="7">
        <v>36</v>
      </c>
      <c r="E343" s="5" t="s">
        <v>115</v>
      </c>
      <c r="F343" s="3" t="s">
        <v>116</v>
      </c>
      <c r="G343" s="7" t="s">
        <v>417</v>
      </c>
      <c r="H343" s="7" t="s">
        <v>69</v>
      </c>
      <c r="I343" s="7" t="s">
        <v>34</v>
      </c>
      <c r="J343" s="3"/>
      <c r="K343" s="3" t="s">
        <v>38</v>
      </c>
      <c r="L343" s="7" t="s">
        <v>371</v>
      </c>
      <c r="M343" s="19"/>
      <c r="N343" s="3" t="str">
        <f>HYPERLINK("https://www.stromypodkontrolou.cz/map/tree/d5a9feae-08b7-4a08-a26f-b01f4eb3f1d0/9f97a4a2-c27b-4f86-98b1-049cb2413a6c")</f>
        <v>https://www.stromypodkontrolou.cz/map/tree/d5a9feae-08b7-4a08-a26f-b01f4eb3f1d0/9f97a4a2-c27b-4f86-98b1-049cb2413a6c</v>
      </c>
      <c r="O343" s="3" t="str">
        <f>HYPERLINK("https://www.mapy.cz?st=search&amp;fr=49.69776730 18.70996327")</f>
        <v>https://www.mapy.cz?st=search&amp;fr=49.69776730 18.70996327</v>
      </c>
    </row>
    <row r="344" spans="1:15" ht="120">
      <c r="A344" s="10">
        <v>275</v>
      </c>
      <c r="B344" s="3" t="s">
        <v>494</v>
      </c>
      <c r="C344" s="3" t="s">
        <v>495</v>
      </c>
      <c r="D344" s="7">
        <v>42</v>
      </c>
      <c r="E344" s="5" t="s">
        <v>121</v>
      </c>
      <c r="F344" s="3" t="s">
        <v>122</v>
      </c>
      <c r="G344" s="7" t="s">
        <v>468</v>
      </c>
      <c r="H344" s="7" t="s">
        <v>231</v>
      </c>
      <c r="I344" s="7" t="s">
        <v>34</v>
      </c>
      <c r="J344" s="3" t="s">
        <v>75</v>
      </c>
      <c r="K344" s="3" t="s">
        <v>38</v>
      </c>
      <c r="L344" s="7" t="s">
        <v>47</v>
      </c>
      <c r="M344" s="19"/>
      <c r="N344" s="3" t="str">
        <f>HYPERLINK("https://www.stromypodkontrolou.cz/map/tree/d5a9feae-08b7-4a08-a26f-b01f4eb3f1d0/f79fa980-4509-4ca5-90fd-0dc183107d4f")</f>
        <v>https://www.stromypodkontrolou.cz/map/tree/d5a9feae-08b7-4a08-a26f-b01f4eb3f1d0/f79fa980-4509-4ca5-90fd-0dc183107d4f</v>
      </c>
      <c r="O344" s="3" t="str">
        <f>HYPERLINK("https://www.mapy.cz?st=search&amp;fr=49.69728066 18.70958709")</f>
        <v>https://www.mapy.cz?st=search&amp;fr=49.69728066 18.70958709</v>
      </c>
    </row>
    <row r="345" spans="1:15" ht="12.75" customHeight="1">
      <c r="A345" s="16">
        <v>276</v>
      </c>
      <c r="B345" s="13" t="s">
        <v>494</v>
      </c>
      <c r="C345" s="13" t="s">
        <v>495</v>
      </c>
      <c r="D345" s="14">
        <v>43</v>
      </c>
      <c r="E345" s="15" t="s">
        <v>29</v>
      </c>
      <c r="F345" s="13" t="s">
        <v>30</v>
      </c>
      <c r="G345" s="14" t="s">
        <v>468</v>
      </c>
      <c r="H345" s="14" t="s">
        <v>132</v>
      </c>
      <c r="I345" s="14" t="s">
        <v>25</v>
      </c>
      <c r="J345" s="13"/>
      <c r="K345" s="3" t="s">
        <v>38</v>
      </c>
      <c r="L345" s="7" t="s">
        <v>229</v>
      </c>
      <c r="M345" s="19"/>
      <c r="N345" s="13" t="str">
        <f>HYPERLINK("https://www.stromypodkontrolou.cz/map/tree/d5a9feae-08b7-4a08-a26f-b01f4eb3f1d0/b71efe88-ca50-41f7-8537-f4b5b465f7dc")</f>
        <v>https://www.stromypodkontrolou.cz/map/tree/d5a9feae-08b7-4a08-a26f-b01f4eb3f1d0/b71efe88-ca50-41f7-8537-f4b5b465f7dc</v>
      </c>
      <c r="O345" s="13" t="str">
        <f>HYPERLINK("https://www.mapy.cz?st=search&amp;fr=49.69732078 18.70948382")</f>
        <v>https://www.mapy.cz?st=search&amp;fr=49.69732078 18.70948382</v>
      </c>
    </row>
    <row r="346" spans="1:15" ht="36">
      <c r="A346" s="16"/>
      <c r="B346" s="13"/>
      <c r="C346" s="13"/>
      <c r="D346" s="14"/>
      <c r="E346" s="15"/>
      <c r="F346" s="13"/>
      <c r="G346" s="14"/>
      <c r="H346" s="14"/>
      <c r="I346" s="14"/>
      <c r="J346" s="13"/>
      <c r="K346" s="3" t="s">
        <v>36</v>
      </c>
      <c r="L346" s="7" t="s">
        <v>304</v>
      </c>
      <c r="M346" s="19"/>
      <c r="N346" s="13"/>
      <c r="O346" s="13"/>
    </row>
    <row r="347" spans="1:15" ht="36">
      <c r="A347" s="16">
        <v>277</v>
      </c>
      <c r="B347" s="13" t="s">
        <v>494</v>
      </c>
      <c r="C347" s="13" t="s">
        <v>495</v>
      </c>
      <c r="D347" s="14">
        <v>44</v>
      </c>
      <c r="E347" s="15" t="s">
        <v>29</v>
      </c>
      <c r="F347" s="13" t="s">
        <v>30</v>
      </c>
      <c r="G347" s="14" t="s">
        <v>262</v>
      </c>
      <c r="H347" s="14" t="s">
        <v>111</v>
      </c>
      <c r="I347" s="14" t="s">
        <v>27</v>
      </c>
      <c r="J347" s="13" t="s">
        <v>498</v>
      </c>
      <c r="K347" s="3" t="s">
        <v>36</v>
      </c>
      <c r="L347" s="7" t="s">
        <v>304</v>
      </c>
      <c r="M347" s="19"/>
      <c r="N347" s="13" t="str">
        <f>HYPERLINK("https://www.stromypodkontrolou.cz/map/tree/d5a9feae-08b7-4a08-a26f-b01f4eb3f1d0/653a3223-8273-4da4-80f5-abfffb582bdf")</f>
        <v>https://www.stromypodkontrolou.cz/map/tree/d5a9feae-08b7-4a08-a26f-b01f4eb3f1d0/653a3223-8273-4da4-80f5-abfffb582bdf</v>
      </c>
      <c r="O347" s="13" t="str">
        <f>HYPERLINK("https://www.mapy.cz?st=search&amp;fr=49.69732013 18.70937016")</f>
        <v>https://www.mapy.cz?st=search&amp;fr=49.69732013 18.70937016</v>
      </c>
    </row>
    <row r="348" spans="1:15" ht="36">
      <c r="A348" s="16"/>
      <c r="B348" s="13"/>
      <c r="C348" s="13"/>
      <c r="D348" s="14"/>
      <c r="E348" s="15"/>
      <c r="F348" s="13"/>
      <c r="G348" s="14"/>
      <c r="H348" s="14"/>
      <c r="I348" s="14"/>
      <c r="J348" s="13"/>
      <c r="K348" s="3" t="s">
        <v>38</v>
      </c>
      <c r="L348" s="7" t="s">
        <v>499</v>
      </c>
      <c r="M348" s="19"/>
      <c r="N348" s="13"/>
      <c r="O348" s="13"/>
    </row>
    <row r="349" spans="1:15" ht="36">
      <c r="A349" s="16">
        <v>278</v>
      </c>
      <c r="B349" s="13" t="s">
        <v>494</v>
      </c>
      <c r="C349" s="13" t="s">
        <v>495</v>
      </c>
      <c r="D349" s="14">
        <v>45</v>
      </c>
      <c r="E349" s="15" t="s">
        <v>29</v>
      </c>
      <c r="F349" s="13" t="s">
        <v>30</v>
      </c>
      <c r="G349" s="14" t="s">
        <v>262</v>
      </c>
      <c r="H349" s="14" t="s">
        <v>213</v>
      </c>
      <c r="I349" s="14" t="s">
        <v>27</v>
      </c>
      <c r="J349" s="13" t="s">
        <v>250</v>
      </c>
      <c r="K349" s="3" t="s">
        <v>36</v>
      </c>
      <c r="L349" s="7" t="s">
        <v>304</v>
      </c>
      <c r="M349" s="19"/>
      <c r="N349" s="13" t="str">
        <f>HYPERLINK("https://www.stromypodkontrolou.cz/map/tree/d5a9feae-08b7-4a08-a26f-b01f4eb3f1d0/1bd1c7ed-4bbc-474e-8dd1-8e76635e6ad3")</f>
        <v>https://www.stromypodkontrolou.cz/map/tree/d5a9feae-08b7-4a08-a26f-b01f4eb3f1d0/1bd1c7ed-4bbc-474e-8dd1-8e76635e6ad3</v>
      </c>
      <c r="O349" s="13" t="str">
        <f>HYPERLINK("https://www.mapy.cz?st=search&amp;fr=49.69729692 18.70923371")</f>
        <v>https://www.mapy.cz?st=search&amp;fr=49.69729692 18.70923371</v>
      </c>
    </row>
    <row r="350" spans="1:15" ht="12.75">
      <c r="A350" s="16"/>
      <c r="B350" s="13"/>
      <c r="C350" s="13"/>
      <c r="D350" s="14"/>
      <c r="E350" s="15"/>
      <c r="F350" s="13"/>
      <c r="G350" s="14"/>
      <c r="H350" s="14"/>
      <c r="I350" s="14"/>
      <c r="J350" s="13"/>
      <c r="K350" s="3" t="s">
        <v>38</v>
      </c>
      <c r="L350" s="7" t="s">
        <v>229</v>
      </c>
      <c r="M350" s="19"/>
      <c r="N350" s="13"/>
      <c r="O350" s="13"/>
    </row>
    <row r="351" spans="1:15" ht="36">
      <c r="A351" s="16">
        <v>279</v>
      </c>
      <c r="B351" s="13" t="s">
        <v>494</v>
      </c>
      <c r="C351" s="13" t="s">
        <v>495</v>
      </c>
      <c r="D351" s="14">
        <v>46</v>
      </c>
      <c r="E351" s="15" t="s">
        <v>29</v>
      </c>
      <c r="F351" s="13" t="s">
        <v>30</v>
      </c>
      <c r="G351" s="14" t="s">
        <v>145</v>
      </c>
      <c r="H351" s="14" t="s">
        <v>132</v>
      </c>
      <c r="I351" s="14" t="s">
        <v>27</v>
      </c>
      <c r="J351" s="13" t="s">
        <v>250</v>
      </c>
      <c r="K351" s="3" t="s">
        <v>36</v>
      </c>
      <c r="L351" s="7" t="s">
        <v>304</v>
      </c>
      <c r="M351" s="19"/>
      <c r="N351" s="13" t="str">
        <f>HYPERLINK("https://www.stromypodkontrolou.cz/map/tree/d5a9feae-08b7-4a08-a26f-b01f4eb3f1d0/033dd38d-7ff2-4def-a422-573eb88ae66e")</f>
        <v>https://www.stromypodkontrolou.cz/map/tree/d5a9feae-08b7-4a08-a26f-b01f4eb3f1d0/033dd38d-7ff2-4def-a422-573eb88ae66e</v>
      </c>
      <c r="O351" s="13" t="str">
        <f>HYPERLINK("https://www.mapy.cz?st=search&amp;fr=49.69723815 18.70911066")</f>
        <v>https://www.mapy.cz?st=search&amp;fr=49.69723815 18.70911066</v>
      </c>
    </row>
    <row r="352" spans="1:15" ht="12.75">
      <c r="A352" s="16"/>
      <c r="B352" s="13"/>
      <c r="C352" s="13"/>
      <c r="D352" s="14"/>
      <c r="E352" s="15"/>
      <c r="F352" s="13"/>
      <c r="G352" s="14"/>
      <c r="H352" s="14"/>
      <c r="I352" s="14"/>
      <c r="J352" s="13"/>
      <c r="K352" s="3" t="s">
        <v>38</v>
      </c>
      <c r="L352" s="7" t="s">
        <v>229</v>
      </c>
      <c r="M352" s="19"/>
      <c r="N352" s="13"/>
      <c r="O352" s="13"/>
    </row>
    <row r="353" spans="1:15" ht="36">
      <c r="A353" s="16">
        <v>280</v>
      </c>
      <c r="B353" s="13" t="s">
        <v>494</v>
      </c>
      <c r="C353" s="13" t="s">
        <v>495</v>
      </c>
      <c r="D353" s="14">
        <v>47</v>
      </c>
      <c r="E353" s="15" t="s">
        <v>29</v>
      </c>
      <c r="F353" s="13" t="s">
        <v>30</v>
      </c>
      <c r="G353" s="14" t="s">
        <v>468</v>
      </c>
      <c r="H353" s="14" t="s">
        <v>132</v>
      </c>
      <c r="I353" s="14" t="s">
        <v>27</v>
      </c>
      <c r="J353" s="13" t="s">
        <v>250</v>
      </c>
      <c r="K353" s="3" t="s">
        <v>36</v>
      </c>
      <c r="L353" s="7" t="s">
        <v>304</v>
      </c>
      <c r="M353" s="19"/>
      <c r="N353" s="13" t="str">
        <f>HYPERLINK("https://www.stromypodkontrolou.cz/map/tree/d5a9feae-08b7-4a08-a26f-b01f4eb3f1d0/a484b873-2ca4-4a27-9d17-62f09855184b")</f>
        <v>https://www.stromypodkontrolou.cz/map/tree/d5a9feae-08b7-4a08-a26f-b01f4eb3f1d0/a484b873-2ca4-4a27-9d17-62f09855184b</v>
      </c>
      <c r="O353" s="13" t="str">
        <f>HYPERLINK("https://www.mapy.cz?st=search&amp;fr=49.69716463 18.70902852")</f>
        <v>https://www.mapy.cz?st=search&amp;fr=49.69716463 18.70902852</v>
      </c>
    </row>
    <row r="354" spans="1:15" ht="12.75">
      <c r="A354" s="16"/>
      <c r="B354" s="13"/>
      <c r="C354" s="13"/>
      <c r="D354" s="14"/>
      <c r="E354" s="15"/>
      <c r="F354" s="13"/>
      <c r="G354" s="14"/>
      <c r="H354" s="14"/>
      <c r="I354" s="14"/>
      <c r="J354" s="13"/>
      <c r="K354" s="3" t="s">
        <v>38</v>
      </c>
      <c r="L354" s="7" t="s">
        <v>229</v>
      </c>
      <c r="M354" s="19"/>
      <c r="N354" s="13"/>
      <c r="O354" s="13"/>
    </row>
    <row r="355" spans="1:15" ht="36">
      <c r="A355" s="16">
        <v>281</v>
      </c>
      <c r="B355" s="13" t="s">
        <v>494</v>
      </c>
      <c r="C355" s="13" t="s">
        <v>495</v>
      </c>
      <c r="D355" s="14">
        <v>48</v>
      </c>
      <c r="E355" s="15" t="s">
        <v>392</v>
      </c>
      <c r="F355" s="13" t="s">
        <v>393</v>
      </c>
      <c r="G355" s="14" t="s">
        <v>417</v>
      </c>
      <c r="H355" s="14" t="s">
        <v>213</v>
      </c>
      <c r="I355" s="14" t="s">
        <v>25</v>
      </c>
      <c r="J355" s="13" t="s">
        <v>75</v>
      </c>
      <c r="K355" s="3" t="s">
        <v>36</v>
      </c>
      <c r="L355" s="7" t="s">
        <v>304</v>
      </c>
      <c r="M355" s="19"/>
      <c r="N355" s="13" t="str">
        <f>HYPERLINK("https://www.stromypodkontrolou.cz/map/tree/d5a9feae-08b7-4a08-a26f-b01f4eb3f1d0/919bd629-b7be-40ba-a22f-da48f8703c9d")</f>
        <v>https://www.stromypodkontrolou.cz/map/tree/d5a9feae-08b7-4a08-a26f-b01f4eb3f1d0/919bd629-b7be-40ba-a22f-da48f8703c9d</v>
      </c>
      <c r="O355" s="13" t="str">
        <f>HYPERLINK("https://www.mapy.cz?st=search&amp;fr=49.69709502 18.70895811")</f>
        <v>https://www.mapy.cz?st=search&amp;fr=49.69709502 18.70895811</v>
      </c>
    </row>
    <row r="356" spans="1:15" ht="12.75">
      <c r="A356" s="16"/>
      <c r="B356" s="13"/>
      <c r="C356" s="13"/>
      <c r="D356" s="14"/>
      <c r="E356" s="15"/>
      <c r="F356" s="13"/>
      <c r="G356" s="14"/>
      <c r="H356" s="14"/>
      <c r="I356" s="14"/>
      <c r="J356" s="13"/>
      <c r="K356" s="3" t="s">
        <v>38</v>
      </c>
      <c r="L356" s="7" t="s">
        <v>229</v>
      </c>
      <c r="M356" s="19"/>
      <c r="N356" s="13"/>
      <c r="O356" s="13"/>
    </row>
    <row r="357" spans="1:15" ht="36">
      <c r="A357" s="16">
        <v>282</v>
      </c>
      <c r="B357" s="13" t="s">
        <v>494</v>
      </c>
      <c r="C357" s="13" t="s">
        <v>495</v>
      </c>
      <c r="D357" s="14">
        <v>49</v>
      </c>
      <c r="E357" s="15" t="s">
        <v>29</v>
      </c>
      <c r="F357" s="13" t="s">
        <v>30</v>
      </c>
      <c r="G357" s="14" t="s">
        <v>206</v>
      </c>
      <c r="H357" s="14" t="s">
        <v>213</v>
      </c>
      <c r="I357" s="14" t="s">
        <v>25</v>
      </c>
      <c r="J357" s="13" t="s">
        <v>250</v>
      </c>
      <c r="K357" s="3" t="s">
        <v>36</v>
      </c>
      <c r="L357" s="7" t="s">
        <v>304</v>
      </c>
      <c r="M357" s="19"/>
      <c r="N357" s="13" t="str">
        <f>HYPERLINK("https://www.stromypodkontrolou.cz/map/tree/d5a9feae-08b7-4a08-a26f-b01f4eb3f1d0/ec4dee17-b308-472d-b528-587424ad89d6")</f>
        <v>https://www.stromypodkontrolou.cz/map/tree/d5a9feae-08b7-4a08-a26f-b01f4eb3f1d0/ec4dee17-b308-472d-b528-587424ad89d6</v>
      </c>
      <c r="O357" s="13" t="str">
        <f>HYPERLINK("https://www.mapy.cz?st=search&amp;fr=49.69701890 18.70887664")</f>
        <v>https://www.mapy.cz?st=search&amp;fr=49.69701890 18.70887664</v>
      </c>
    </row>
    <row r="358" spans="1:15" ht="12.75">
      <c r="A358" s="16"/>
      <c r="B358" s="13"/>
      <c r="C358" s="13"/>
      <c r="D358" s="14"/>
      <c r="E358" s="15"/>
      <c r="F358" s="13"/>
      <c r="G358" s="14"/>
      <c r="H358" s="14"/>
      <c r="I358" s="14"/>
      <c r="J358" s="13"/>
      <c r="K358" s="3" t="s">
        <v>38</v>
      </c>
      <c r="L358" s="7" t="s">
        <v>229</v>
      </c>
      <c r="M358" s="19"/>
      <c r="N358" s="13"/>
      <c r="O358" s="13"/>
    </row>
    <row r="359" spans="1:15" ht="120">
      <c r="A359" s="10">
        <v>283</v>
      </c>
      <c r="B359" s="3" t="s">
        <v>494</v>
      </c>
      <c r="C359" s="3" t="s">
        <v>495</v>
      </c>
      <c r="D359" s="7">
        <v>50</v>
      </c>
      <c r="E359" s="5" t="s">
        <v>29</v>
      </c>
      <c r="F359" s="3" t="s">
        <v>30</v>
      </c>
      <c r="G359" s="7" t="s">
        <v>243</v>
      </c>
      <c r="H359" s="7" t="s">
        <v>231</v>
      </c>
      <c r="I359" s="7" t="s">
        <v>27</v>
      </c>
      <c r="J359" s="3" t="s">
        <v>250</v>
      </c>
      <c r="K359" s="3" t="s">
        <v>38</v>
      </c>
      <c r="L359" s="7" t="s">
        <v>229</v>
      </c>
      <c r="M359" s="19"/>
      <c r="N359" s="3" t="str">
        <f>HYPERLINK("https://www.stromypodkontrolou.cz/map/tree/d5a9feae-08b7-4a08-a26f-b01f4eb3f1d0/8dd31e05-fe6b-45c4-b36c-9b2a86bca5d9")</f>
        <v>https://www.stromypodkontrolou.cz/map/tree/d5a9feae-08b7-4a08-a26f-b01f4eb3f1d0/8dd31e05-fe6b-45c4-b36c-9b2a86bca5d9</v>
      </c>
      <c r="O359" s="3" t="str">
        <f>HYPERLINK("https://www.mapy.cz?st=search&amp;fr=49.69701326 18.70876901")</f>
        <v>https://www.mapy.cz?st=search&amp;fr=49.69701326 18.70876901</v>
      </c>
    </row>
    <row r="360" spans="1:15" ht="120">
      <c r="A360" s="10">
        <v>284</v>
      </c>
      <c r="B360" s="3" t="s">
        <v>494</v>
      </c>
      <c r="C360" s="3" t="s">
        <v>495</v>
      </c>
      <c r="D360" s="7">
        <v>52</v>
      </c>
      <c r="E360" s="5" t="s">
        <v>40</v>
      </c>
      <c r="F360" s="3" t="s">
        <v>41</v>
      </c>
      <c r="G360" s="7" t="s">
        <v>135</v>
      </c>
      <c r="H360" s="7" t="s">
        <v>111</v>
      </c>
      <c r="I360" s="7" t="s">
        <v>50</v>
      </c>
      <c r="J360" s="3"/>
      <c r="K360" s="3" t="s">
        <v>38</v>
      </c>
      <c r="L360" s="7" t="s">
        <v>114</v>
      </c>
      <c r="M360" s="19"/>
      <c r="N360" s="3" t="str">
        <f>HYPERLINK("https://www.stromypodkontrolou.cz/map/tree/d5a9feae-08b7-4a08-a26f-b01f4eb3f1d0/f251bdd5-c013-49f7-bcb4-f58766a85b49")</f>
        <v>https://www.stromypodkontrolou.cz/map/tree/d5a9feae-08b7-4a08-a26f-b01f4eb3f1d0/f251bdd5-c013-49f7-bcb4-f58766a85b49</v>
      </c>
      <c r="O360" s="3" t="str">
        <f>HYPERLINK("https://www.mapy.cz?st=search&amp;fr=49.69695341 18.70866709")</f>
        <v>https://www.mapy.cz?st=search&amp;fr=49.69695341 18.70866709</v>
      </c>
    </row>
    <row r="361" spans="1:15" ht="36">
      <c r="A361" s="16">
        <v>285</v>
      </c>
      <c r="B361" s="13" t="s">
        <v>494</v>
      </c>
      <c r="C361" s="13" t="s">
        <v>495</v>
      </c>
      <c r="D361" s="14">
        <v>54</v>
      </c>
      <c r="E361" s="15" t="s">
        <v>29</v>
      </c>
      <c r="F361" s="13" t="s">
        <v>30</v>
      </c>
      <c r="G361" s="14" t="s">
        <v>230</v>
      </c>
      <c r="H361" s="14" t="s">
        <v>111</v>
      </c>
      <c r="I361" s="14" t="s">
        <v>27</v>
      </c>
      <c r="J361" s="13" t="s">
        <v>250</v>
      </c>
      <c r="K361" s="3" t="s">
        <v>36</v>
      </c>
      <c r="L361" s="7" t="s">
        <v>304</v>
      </c>
      <c r="M361" s="19"/>
      <c r="N361" s="13" t="str">
        <f>HYPERLINK("https://www.stromypodkontrolou.cz/map/tree/d5a9feae-08b7-4a08-a26f-b01f4eb3f1d0/f631c94f-2f41-4ca5-9ce0-acf003a41077")</f>
        <v>https://www.stromypodkontrolou.cz/map/tree/d5a9feae-08b7-4a08-a26f-b01f4eb3f1d0/f631c94f-2f41-4ca5-9ce0-acf003a41077</v>
      </c>
      <c r="O361" s="13" t="str">
        <f>HYPERLINK("https://www.mapy.cz?st=search&amp;fr=49.69687338 18.70876767")</f>
        <v>https://www.mapy.cz?st=search&amp;fr=49.69687338 18.70876767</v>
      </c>
    </row>
    <row r="362" spans="1:15" ht="12.75">
      <c r="A362" s="16"/>
      <c r="B362" s="13"/>
      <c r="C362" s="13"/>
      <c r="D362" s="14"/>
      <c r="E362" s="15"/>
      <c r="F362" s="13"/>
      <c r="G362" s="14"/>
      <c r="H362" s="14"/>
      <c r="I362" s="14"/>
      <c r="J362" s="13"/>
      <c r="K362" s="3" t="s">
        <v>38</v>
      </c>
      <c r="L362" s="7" t="s">
        <v>229</v>
      </c>
      <c r="M362" s="19"/>
      <c r="N362" s="13"/>
      <c r="O362" s="13"/>
    </row>
    <row r="363" spans="1:15" ht="120">
      <c r="A363" s="10">
        <v>286</v>
      </c>
      <c r="B363" s="3" t="s">
        <v>494</v>
      </c>
      <c r="C363" s="3" t="s">
        <v>495</v>
      </c>
      <c r="D363" s="7">
        <v>55</v>
      </c>
      <c r="E363" s="5" t="s">
        <v>40</v>
      </c>
      <c r="F363" s="3" t="s">
        <v>41</v>
      </c>
      <c r="G363" s="7" t="s">
        <v>464</v>
      </c>
      <c r="H363" s="7" t="s">
        <v>111</v>
      </c>
      <c r="I363" s="7" t="s">
        <v>50</v>
      </c>
      <c r="J363" s="3" t="s">
        <v>250</v>
      </c>
      <c r="K363" s="3" t="s">
        <v>38</v>
      </c>
      <c r="L363" s="7" t="s">
        <v>114</v>
      </c>
      <c r="M363" s="19"/>
      <c r="N363" s="3" t="str">
        <f>HYPERLINK("https://www.stromypodkontrolou.cz/map/tree/d5a9feae-08b7-4a08-a26f-b01f4eb3f1d0/7691f172-e445-4152-a988-89101548a579")</f>
        <v>https://www.stromypodkontrolou.cz/map/tree/d5a9feae-08b7-4a08-a26f-b01f4eb3f1d0/7691f172-e445-4152-a988-89101548a579</v>
      </c>
      <c r="O363" s="3" t="str">
        <f>HYPERLINK("https://www.mapy.cz?st=search&amp;fr=49.69680767 18.70890648")</f>
        <v>https://www.mapy.cz?st=search&amp;fr=49.69680767 18.70890648</v>
      </c>
    </row>
    <row r="364" spans="1:15" ht="120">
      <c r="A364" s="10">
        <v>287</v>
      </c>
      <c r="B364" s="3" t="s">
        <v>494</v>
      </c>
      <c r="C364" s="3" t="s">
        <v>495</v>
      </c>
      <c r="D364" s="7">
        <v>56</v>
      </c>
      <c r="E364" s="5" t="s">
        <v>29</v>
      </c>
      <c r="F364" s="3" t="s">
        <v>30</v>
      </c>
      <c r="G364" s="7" t="s">
        <v>27</v>
      </c>
      <c r="H364" s="7" t="s">
        <v>117</v>
      </c>
      <c r="I364" s="7" t="s">
        <v>21</v>
      </c>
      <c r="J364" s="3"/>
      <c r="K364" s="3" t="s">
        <v>23</v>
      </c>
      <c r="L364" s="7" t="s">
        <v>118</v>
      </c>
      <c r="M364" s="19"/>
      <c r="N364" s="3" t="str">
        <f>HYPERLINK("https://www.stromypodkontrolou.cz/map/tree/d5a9feae-08b7-4a08-a26f-b01f4eb3f1d0/3b11a23c-cdb9-4f0c-b01d-f8cae8d5519d")</f>
        <v>https://www.stromypodkontrolou.cz/map/tree/d5a9feae-08b7-4a08-a26f-b01f4eb3f1d0/3b11a23c-cdb9-4f0c-b01d-f8cae8d5519d</v>
      </c>
      <c r="O364" s="3" t="str">
        <f>HYPERLINK("https://www.mapy.cz?st=search&amp;fr=49.69690830 18.70920756")</f>
        <v>https://www.mapy.cz?st=search&amp;fr=49.69690830 18.70920756</v>
      </c>
    </row>
    <row r="365" spans="1:15" ht="120">
      <c r="A365" s="10">
        <v>288</v>
      </c>
      <c r="B365" s="3" t="s">
        <v>494</v>
      </c>
      <c r="C365" s="3" t="s">
        <v>495</v>
      </c>
      <c r="D365" s="7">
        <v>60</v>
      </c>
      <c r="E365" s="5" t="s">
        <v>29</v>
      </c>
      <c r="F365" s="3" t="s">
        <v>30</v>
      </c>
      <c r="G365" s="7" t="s">
        <v>80</v>
      </c>
      <c r="H365" s="7" t="s">
        <v>18</v>
      </c>
      <c r="I365" s="7" t="s">
        <v>20</v>
      </c>
      <c r="J365" s="3"/>
      <c r="K365" s="3" t="s">
        <v>38</v>
      </c>
      <c r="L365" s="7" t="s">
        <v>114</v>
      </c>
      <c r="M365" s="19"/>
      <c r="N365" s="3" t="str">
        <f>HYPERLINK("https://www.stromypodkontrolou.cz/map/tree/d5a9feae-08b7-4a08-a26f-b01f4eb3f1d0/d0e1b51a-7e9a-4062-b15d-47709b14a806")</f>
        <v>https://www.stromypodkontrolou.cz/map/tree/d5a9feae-08b7-4a08-a26f-b01f4eb3f1d0/d0e1b51a-7e9a-4062-b15d-47709b14a806</v>
      </c>
      <c r="O365" s="3" t="str">
        <f>HYPERLINK("https://www.mapy.cz?st=search&amp;fr=49.69929638 18.71111896")</f>
        <v>https://www.mapy.cz?st=search&amp;fr=49.69929638 18.71111896</v>
      </c>
    </row>
    <row r="366" spans="1:15" ht="36">
      <c r="A366" s="16">
        <v>289</v>
      </c>
      <c r="B366" s="13" t="s">
        <v>484</v>
      </c>
      <c r="C366" s="13" t="s">
        <v>500</v>
      </c>
      <c r="D366" s="14">
        <v>1</v>
      </c>
      <c r="E366" s="15" t="s">
        <v>29</v>
      </c>
      <c r="F366" s="13" t="s">
        <v>30</v>
      </c>
      <c r="G366" s="14" t="s">
        <v>501</v>
      </c>
      <c r="H366" s="14" t="s">
        <v>57</v>
      </c>
      <c r="I366" s="14" t="s">
        <v>152</v>
      </c>
      <c r="J366" s="13" t="s">
        <v>502</v>
      </c>
      <c r="K366" s="8" t="s">
        <v>264</v>
      </c>
      <c r="L366" s="7" t="s">
        <v>503</v>
      </c>
      <c r="M366" s="19"/>
      <c r="N366" s="13" t="str">
        <f>HYPERLINK("https://www.stromypodkontrolou.cz/map/tree/d5a9feae-08b7-4a08-a26f-b01f4eb3f1d0/cbc28069-2535-4d49-805a-2c0b4691e95e")</f>
        <v>https://www.stromypodkontrolou.cz/map/tree/d5a9feae-08b7-4a08-a26f-b01f4eb3f1d0/cbc28069-2535-4d49-805a-2c0b4691e95e</v>
      </c>
      <c r="O366" s="13" t="str">
        <f>HYPERLINK("https://www.mapy.cz?st=search&amp;fr=49.70415402 18.69007411")</f>
        <v>https://www.mapy.cz?st=search&amp;fr=49.70415402 18.69007411</v>
      </c>
    </row>
    <row r="367" spans="1:15" ht="36">
      <c r="A367" s="16"/>
      <c r="B367" s="13"/>
      <c r="C367" s="13"/>
      <c r="D367" s="14"/>
      <c r="E367" s="15"/>
      <c r="F367" s="13"/>
      <c r="G367" s="14"/>
      <c r="H367" s="14"/>
      <c r="I367" s="14"/>
      <c r="J367" s="13"/>
      <c r="K367" s="3" t="s">
        <v>38</v>
      </c>
      <c r="L367" s="7" t="s">
        <v>504</v>
      </c>
      <c r="M367" s="19"/>
      <c r="N367" s="13"/>
      <c r="O367" s="13"/>
    </row>
    <row r="368" spans="1:15" ht="120">
      <c r="A368" s="10">
        <v>290</v>
      </c>
      <c r="B368" s="3" t="s">
        <v>482</v>
      </c>
      <c r="C368" s="3" t="s">
        <v>505</v>
      </c>
      <c r="D368" s="7">
        <v>69</v>
      </c>
      <c r="E368" s="5" t="s">
        <v>175</v>
      </c>
      <c r="F368" s="3" t="s">
        <v>176</v>
      </c>
      <c r="G368" s="7" t="s">
        <v>152</v>
      </c>
      <c r="H368" s="7" t="s">
        <v>213</v>
      </c>
      <c r="I368" s="7" t="s">
        <v>27</v>
      </c>
      <c r="J368" s="3" t="s">
        <v>506</v>
      </c>
      <c r="K368" s="3" t="s">
        <v>23</v>
      </c>
      <c r="L368" s="7" t="s">
        <v>118</v>
      </c>
      <c r="M368" s="19"/>
      <c r="N368" s="3" t="str">
        <f>HYPERLINK("https://www.stromypodkontrolou.cz/map/tree/d5a9feae-08b7-4a08-a26f-b01f4eb3f1d0/88cf2fe8-6745-48f1-adcd-b4b45ac64f94")</f>
        <v>https://www.stromypodkontrolou.cz/map/tree/d5a9feae-08b7-4a08-a26f-b01f4eb3f1d0/88cf2fe8-6745-48f1-adcd-b4b45ac64f94</v>
      </c>
      <c r="O368" s="3" t="str">
        <f>HYPERLINK("https://www.mapy.cz?st=search&amp;fr=49.70530641 18.63876605")</f>
        <v>https://www.mapy.cz?st=search&amp;fr=49.70530641 18.63876605</v>
      </c>
    </row>
    <row r="369" spans="1:15" ht="120">
      <c r="A369" s="10">
        <v>291</v>
      </c>
      <c r="B369" s="3" t="s">
        <v>482</v>
      </c>
      <c r="C369" s="3" t="s">
        <v>505</v>
      </c>
      <c r="D369" s="7">
        <v>744</v>
      </c>
      <c r="E369" s="5" t="s">
        <v>123</v>
      </c>
      <c r="F369" s="3" t="s">
        <v>124</v>
      </c>
      <c r="G369" s="7" t="s">
        <v>20</v>
      </c>
      <c r="H369" s="7" t="s">
        <v>58</v>
      </c>
      <c r="I369" s="7" t="s">
        <v>22</v>
      </c>
      <c r="J369" s="3"/>
      <c r="K369" s="3" t="s">
        <v>23</v>
      </c>
      <c r="L369" s="7" t="s">
        <v>125</v>
      </c>
      <c r="M369" s="19"/>
      <c r="N369" s="3" t="str">
        <f>HYPERLINK("https://www.stromypodkontrolou.cz/map/tree/d5a9feae-08b7-4a08-a26f-b01f4eb3f1d0/2994376f-1fc8-4467-8028-b67476c346c6")</f>
        <v>https://www.stromypodkontrolou.cz/map/tree/d5a9feae-08b7-4a08-a26f-b01f4eb3f1d0/2994376f-1fc8-4467-8028-b67476c346c6</v>
      </c>
      <c r="O369" s="3" t="str">
        <f>HYPERLINK("https://www.mapy.cz?st=search&amp;fr=49.70449675 18.64191965")</f>
        <v>https://www.mapy.cz?st=search&amp;fr=49.70449675 18.64191965</v>
      </c>
    </row>
    <row r="370" spans="1:15" ht="120">
      <c r="A370" s="10">
        <v>292</v>
      </c>
      <c r="B370" s="3" t="s">
        <v>482</v>
      </c>
      <c r="C370" s="3" t="s">
        <v>505</v>
      </c>
      <c r="D370" s="7">
        <v>745</v>
      </c>
      <c r="E370" s="5" t="s">
        <v>123</v>
      </c>
      <c r="F370" s="3" t="s">
        <v>124</v>
      </c>
      <c r="G370" s="7" t="s">
        <v>20</v>
      </c>
      <c r="H370" s="7" t="s">
        <v>58</v>
      </c>
      <c r="I370" s="7" t="s">
        <v>22</v>
      </c>
      <c r="J370" s="3"/>
      <c r="K370" s="3" t="s">
        <v>23</v>
      </c>
      <c r="L370" s="7" t="s">
        <v>125</v>
      </c>
      <c r="M370" s="19"/>
      <c r="N370" s="3" t="str">
        <f>HYPERLINK("https://www.stromypodkontrolou.cz/map/tree/d5a9feae-08b7-4a08-a26f-b01f4eb3f1d0/705e02ed-9940-4975-802a-f4cff798c694")</f>
        <v>https://www.stromypodkontrolou.cz/map/tree/d5a9feae-08b7-4a08-a26f-b01f4eb3f1d0/705e02ed-9940-4975-802a-f4cff798c694</v>
      </c>
      <c r="O370" s="3" t="str">
        <f>HYPERLINK("https://www.mapy.cz?st=search&amp;fr=49.70445815 18.64189584")</f>
        <v>https://www.mapy.cz?st=search&amp;fr=49.70445815 18.64189584</v>
      </c>
    </row>
    <row r="371" spans="1:15" ht="120">
      <c r="A371" s="10">
        <v>293</v>
      </c>
      <c r="B371" s="3" t="s">
        <v>482</v>
      </c>
      <c r="C371" s="3" t="s">
        <v>505</v>
      </c>
      <c r="D371" s="7">
        <v>746</v>
      </c>
      <c r="E371" s="5" t="s">
        <v>123</v>
      </c>
      <c r="F371" s="3" t="s">
        <v>124</v>
      </c>
      <c r="G371" s="7" t="s">
        <v>20</v>
      </c>
      <c r="H371" s="7" t="s">
        <v>58</v>
      </c>
      <c r="I371" s="7" t="s">
        <v>22</v>
      </c>
      <c r="J371" s="3"/>
      <c r="K371" s="3" t="s">
        <v>23</v>
      </c>
      <c r="L371" s="7" t="s">
        <v>125</v>
      </c>
      <c r="M371" s="19"/>
      <c r="N371" s="3" t="str">
        <f>HYPERLINK("https://www.stromypodkontrolou.cz/map/tree/d5a9feae-08b7-4a08-a26f-b01f4eb3f1d0/2d7ecbac-0ef0-4ae3-98cc-46fe9a88284d")</f>
        <v>https://www.stromypodkontrolou.cz/map/tree/d5a9feae-08b7-4a08-a26f-b01f4eb3f1d0/2d7ecbac-0ef0-4ae3-98cc-46fe9a88284d</v>
      </c>
      <c r="O371" s="3" t="str">
        <f>HYPERLINK("https://www.mapy.cz?st=search&amp;fr=49.70443820 18.64183315")</f>
        <v>https://www.mapy.cz?st=search&amp;fr=49.70443820 18.64183315</v>
      </c>
    </row>
    <row r="372" spans="1:15" ht="120">
      <c r="A372" s="10">
        <v>294</v>
      </c>
      <c r="B372" s="3" t="s">
        <v>482</v>
      </c>
      <c r="C372" s="3" t="s">
        <v>505</v>
      </c>
      <c r="D372" s="7">
        <v>747</v>
      </c>
      <c r="E372" s="5" t="s">
        <v>123</v>
      </c>
      <c r="F372" s="3" t="s">
        <v>124</v>
      </c>
      <c r="G372" s="7" t="s">
        <v>50</v>
      </c>
      <c r="H372" s="7" t="s">
        <v>18</v>
      </c>
      <c r="I372" s="7" t="s">
        <v>21</v>
      </c>
      <c r="J372" s="3"/>
      <c r="K372" s="3" t="s">
        <v>23</v>
      </c>
      <c r="L372" s="7" t="s">
        <v>24</v>
      </c>
      <c r="M372" s="19"/>
      <c r="N372" s="3" t="str">
        <f>HYPERLINK("https://www.stromypodkontrolou.cz/map/tree/d5a9feae-08b7-4a08-a26f-b01f4eb3f1d0/0cb1835b-f7d9-406e-8b20-f1caafb42527")</f>
        <v>https://www.stromypodkontrolou.cz/map/tree/d5a9feae-08b7-4a08-a26f-b01f4eb3f1d0/0cb1835b-f7d9-406e-8b20-f1caafb42527</v>
      </c>
      <c r="O372" s="3" t="str">
        <f>HYPERLINK("https://www.mapy.cz?st=search&amp;fr=49.70442259 18.64175000")</f>
        <v>https://www.mapy.cz?st=search&amp;fr=49.70442259 18.64175000</v>
      </c>
    </row>
    <row r="373" spans="1:15" ht="120">
      <c r="A373" s="10">
        <v>295</v>
      </c>
      <c r="B373" s="3" t="s">
        <v>482</v>
      </c>
      <c r="C373" s="3" t="s">
        <v>505</v>
      </c>
      <c r="D373" s="7">
        <v>748</v>
      </c>
      <c r="E373" s="5" t="s">
        <v>123</v>
      </c>
      <c r="F373" s="3" t="s">
        <v>124</v>
      </c>
      <c r="G373" s="7" t="s">
        <v>27</v>
      </c>
      <c r="H373" s="7" t="s">
        <v>117</v>
      </c>
      <c r="I373" s="7" t="s">
        <v>21</v>
      </c>
      <c r="J373" s="3"/>
      <c r="K373" s="3" t="s">
        <v>23</v>
      </c>
      <c r="L373" s="7" t="s">
        <v>118</v>
      </c>
      <c r="M373" s="19"/>
      <c r="N373" s="3" t="str">
        <f>HYPERLINK("https://www.stromypodkontrolou.cz/map/tree/d5a9feae-08b7-4a08-a26f-b01f4eb3f1d0/1fa55aa6-090c-44c8-aef5-a3e86fe4ded4")</f>
        <v>https://www.stromypodkontrolou.cz/map/tree/d5a9feae-08b7-4a08-a26f-b01f4eb3f1d0/1fa55aa6-090c-44c8-aef5-a3e86fe4ded4</v>
      </c>
      <c r="O373" s="3" t="str">
        <f>HYPERLINK("https://www.mapy.cz?st=search&amp;fr=49.70440459 18.64165076")</f>
        <v>https://www.mapy.cz?st=search&amp;fr=49.70440459 18.64165076</v>
      </c>
    </row>
    <row r="374" spans="1:15" ht="120">
      <c r="A374" s="10">
        <v>296</v>
      </c>
      <c r="B374" s="3" t="s">
        <v>482</v>
      </c>
      <c r="C374" s="3" t="s">
        <v>505</v>
      </c>
      <c r="D374" s="7">
        <v>749</v>
      </c>
      <c r="E374" s="5" t="s">
        <v>123</v>
      </c>
      <c r="F374" s="3" t="s">
        <v>124</v>
      </c>
      <c r="G374" s="7" t="s">
        <v>27</v>
      </c>
      <c r="H374" s="7" t="s">
        <v>18</v>
      </c>
      <c r="I374" s="7" t="s">
        <v>21</v>
      </c>
      <c r="J374" s="3" t="s">
        <v>429</v>
      </c>
      <c r="K374" s="3" t="s">
        <v>23</v>
      </c>
      <c r="L374" s="7" t="s">
        <v>24</v>
      </c>
      <c r="M374" s="19"/>
      <c r="N374" s="3" t="str">
        <f>HYPERLINK("https://www.stromypodkontrolou.cz/map/tree/d5a9feae-08b7-4a08-a26f-b01f4eb3f1d0/98151de4-6116-4f2b-bd35-57825a688a9e")</f>
        <v>https://www.stromypodkontrolou.cz/map/tree/d5a9feae-08b7-4a08-a26f-b01f4eb3f1d0/98151de4-6116-4f2b-bd35-57825a688a9e</v>
      </c>
      <c r="O374" s="3" t="str">
        <f>HYPERLINK("https://www.mapy.cz?st=search&amp;fr=49.70438378 18.64154347")</f>
        <v>https://www.mapy.cz?st=search&amp;fr=49.70438378 18.64154347</v>
      </c>
    </row>
    <row r="375" spans="1:15" ht="120">
      <c r="A375" s="10">
        <v>297</v>
      </c>
      <c r="B375" s="3" t="s">
        <v>482</v>
      </c>
      <c r="C375" s="3" t="s">
        <v>505</v>
      </c>
      <c r="D375" s="7">
        <v>751</v>
      </c>
      <c r="E375" s="5" t="s">
        <v>123</v>
      </c>
      <c r="F375" s="3" t="s">
        <v>124</v>
      </c>
      <c r="G375" s="7" t="s">
        <v>20</v>
      </c>
      <c r="H375" s="7" t="s">
        <v>58</v>
      </c>
      <c r="I375" s="7" t="s">
        <v>22</v>
      </c>
      <c r="J375" s="3"/>
      <c r="K375" s="3" t="s">
        <v>23</v>
      </c>
      <c r="L375" s="7" t="s">
        <v>125</v>
      </c>
      <c r="M375" s="19"/>
      <c r="N375" s="3" t="str">
        <f>HYPERLINK("https://www.stromypodkontrolou.cz/map/tree/d5a9feae-08b7-4a08-a26f-b01f4eb3f1d0/db1f4e3e-bad4-482b-8aac-0dfd1e020ed7")</f>
        <v>https://www.stromypodkontrolou.cz/map/tree/d5a9feae-08b7-4a08-a26f-b01f4eb3f1d0/db1f4e3e-bad4-482b-8aac-0dfd1e020ed7</v>
      </c>
      <c r="O375" s="3" t="str">
        <f>HYPERLINK("https://www.mapy.cz?st=search&amp;fr=49.70434757 18.64134096")</f>
        <v>https://www.mapy.cz?st=search&amp;fr=49.70434757 18.64134096</v>
      </c>
    </row>
    <row r="376" spans="1:15" ht="120">
      <c r="A376" s="10">
        <v>298</v>
      </c>
      <c r="B376" s="3" t="s">
        <v>482</v>
      </c>
      <c r="C376" s="3" t="s">
        <v>505</v>
      </c>
      <c r="D376" s="7">
        <v>752</v>
      </c>
      <c r="E376" s="5" t="s">
        <v>123</v>
      </c>
      <c r="F376" s="3" t="s">
        <v>124</v>
      </c>
      <c r="G376" s="7" t="s">
        <v>27</v>
      </c>
      <c r="H376" s="7" t="s">
        <v>117</v>
      </c>
      <c r="I376" s="7" t="s">
        <v>21</v>
      </c>
      <c r="J376" s="3"/>
      <c r="K376" s="3" t="s">
        <v>23</v>
      </c>
      <c r="L376" s="7" t="s">
        <v>118</v>
      </c>
      <c r="M376" s="19"/>
      <c r="N376" s="3" t="str">
        <f>HYPERLINK("https://www.stromypodkontrolou.cz/map/tree/d5a9feae-08b7-4a08-a26f-b01f4eb3f1d0/e646e6d9-0935-482b-8e78-80ed814d46f8")</f>
        <v>https://www.stromypodkontrolou.cz/map/tree/d5a9feae-08b7-4a08-a26f-b01f4eb3f1d0/e646e6d9-0935-482b-8e78-80ed814d46f8</v>
      </c>
      <c r="O376" s="3" t="str">
        <f>HYPERLINK("https://www.mapy.cz?st=search&amp;fr=49.70433022 18.64124038")</f>
        <v>https://www.mapy.cz?st=search&amp;fr=49.70433022 18.64124038</v>
      </c>
    </row>
    <row r="377" spans="1:15" ht="120">
      <c r="A377" s="10">
        <v>299</v>
      </c>
      <c r="B377" s="3" t="s">
        <v>482</v>
      </c>
      <c r="C377" s="3" t="s">
        <v>505</v>
      </c>
      <c r="D377" s="7">
        <v>753</v>
      </c>
      <c r="E377" s="5" t="s">
        <v>123</v>
      </c>
      <c r="F377" s="3" t="s">
        <v>124</v>
      </c>
      <c r="G377" s="7" t="s">
        <v>27</v>
      </c>
      <c r="H377" s="7" t="s">
        <v>117</v>
      </c>
      <c r="I377" s="7" t="s">
        <v>21</v>
      </c>
      <c r="J377" s="3"/>
      <c r="K377" s="3" t="s">
        <v>23</v>
      </c>
      <c r="L377" s="7" t="s">
        <v>118</v>
      </c>
      <c r="M377" s="19"/>
      <c r="N377" s="3" t="str">
        <f>HYPERLINK("https://www.stromypodkontrolou.cz/map/tree/d5a9feae-08b7-4a08-a26f-b01f4eb3f1d0/e0eee145-c216-4311-8224-2cfbaf3ab3bf")</f>
        <v>https://www.stromypodkontrolou.cz/map/tree/d5a9feae-08b7-4a08-a26f-b01f4eb3f1d0/e0eee145-c216-4311-8224-2cfbaf3ab3bf</v>
      </c>
      <c r="O377" s="3" t="str">
        <f>HYPERLINK("https://www.mapy.cz?st=search&amp;fr=49.70430984 18.64113108")</f>
        <v>https://www.mapy.cz?st=search&amp;fr=49.70430984 18.64113108</v>
      </c>
    </row>
    <row r="378" spans="1:15" ht="12.75" customHeight="1">
      <c r="A378" s="16">
        <v>300</v>
      </c>
      <c r="B378" s="13" t="s">
        <v>484</v>
      </c>
      <c r="C378" s="13" t="s">
        <v>507</v>
      </c>
      <c r="D378" s="14">
        <v>4</v>
      </c>
      <c r="E378" s="15" t="s">
        <v>29</v>
      </c>
      <c r="F378" s="13" t="s">
        <v>30</v>
      </c>
      <c r="G378" s="14" t="s">
        <v>87</v>
      </c>
      <c r="H378" s="14" t="s">
        <v>18</v>
      </c>
      <c r="I378" s="14" t="s">
        <v>20</v>
      </c>
      <c r="J378" s="13"/>
      <c r="K378" s="3" t="s">
        <v>112</v>
      </c>
      <c r="L378" s="7" t="s">
        <v>113</v>
      </c>
      <c r="M378" s="19"/>
      <c r="N378" s="13" t="str">
        <f>HYPERLINK("https://www.stromypodkontrolou.cz/map/tree/d5a9feae-08b7-4a08-a26f-b01f4eb3f1d0/cfd1f78e-f2c1-4c9f-8e9f-0347720c78e1")</f>
        <v>https://www.stromypodkontrolou.cz/map/tree/d5a9feae-08b7-4a08-a26f-b01f4eb3f1d0/cfd1f78e-f2c1-4c9f-8e9f-0347720c78e1</v>
      </c>
      <c r="O378" s="13" t="str">
        <f>HYPERLINK("https://www.mapy.cz?st=search&amp;fr=49.70348403 18.70002149")</f>
        <v>https://www.mapy.cz?st=search&amp;fr=49.70348403 18.70002149</v>
      </c>
    </row>
    <row r="379" spans="1:15" ht="12.75">
      <c r="A379" s="16"/>
      <c r="B379" s="13"/>
      <c r="C379" s="13"/>
      <c r="D379" s="14"/>
      <c r="E379" s="15"/>
      <c r="F379" s="13"/>
      <c r="G379" s="14"/>
      <c r="H379" s="14"/>
      <c r="I379" s="14"/>
      <c r="J379" s="13"/>
      <c r="K379" s="3" t="s">
        <v>23</v>
      </c>
      <c r="L379" s="7" t="s">
        <v>24</v>
      </c>
      <c r="M379" s="19"/>
      <c r="N379" s="13"/>
      <c r="O379" s="13"/>
    </row>
    <row r="380" spans="1:15" ht="120">
      <c r="A380" s="10">
        <v>301</v>
      </c>
      <c r="B380" s="3" t="s">
        <v>484</v>
      </c>
      <c r="C380" s="3" t="s">
        <v>507</v>
      </c>
      <c r="D380" s="7">
        <v>5</v>
      </c>
      <c r="E380" s="5" t="s">
        <v>29</v>
      </c>
      <c r="F380" s="3" t="s">
        <v>30</v>
      </c>
      <c r="G380" s="7" t="s">
        <v>87</v>
      </c>
      <c r="H380" s="7" t="s">
        <v>18</v>
      </c>
      <c r="I380" s="7" t="s">
        <v>20</v>
      </c>
      <c r="J380" s="3"/>
      <c r="K380" s="3" t="s">
        <v>23</v>
      </c>
      <c r="L380" s="7" t="s">
        <v>24</v>
      </c>
      <c r="M380" s="19"/>
      <c r="N380" s="3" t="str">
        <f>HYPERLINK("https://www.stromypodkontrolou.cz/map/tree/d5a9feae-08b7-4a08-a26f-b01f4eb3f1d0/348d1bee-7276-4a95-94fe-dacaa890c7bf")</f>
        <v>https://www.stromypodkontrolou.cz/map/tree/d5a9feae-08b7-4a08-a26f-b01f4eb3f1d0/348d1bee-7276-4a95-94fe-dacaa890c7bf</v>
      </c>
      <c r="O380" s="3" t="str">
        <f>HYPERLINK("https://www.mapy.cz?st=search&amp;fr=49.70342928 18.70017005")</f>
        <v>https://www.mapy.cz?st=search&amp;fr=49.70342928 18.70017005</v>
      </c>
    </row>
    <row r="381" spans="1:15" ht="12.75" customHeight="1">
      <c r="A381" s="16">
        <v>302</v>
      </c>
      <c r="B381" s="13" t="s">
        <v>508</v>
      </c>
      <c r="C381" s="13" t="s">
        <v>509</v>
      </c>
      <c r="D381" s="14">
        <v>42</v>
      </c>
      <c r="E381" s="15" t="s">
        <v>510</v>
      </c>
      <c r="F381" s="13" t="s">
        <v>511</v>
      </c>
      <c r="G381" s="14" t="s">
        <v>17</v>
      </c>
      <c r="H381" s="14" t="s">
        <v>18</v>
      </c>
      <c r="I381" s="14" t="s">
        <v>21</v>
      </c>
      <c r="J381" s="13"/>
      <c r="K381" s="3" t="s">
        <v>23</v>
      </c>
      <c r="L381" s="7" t="s">
        <v>24</v>
      </c>
      <c r="M381" s="19"/>
      <c r="N381" s="13" t="str">
        <f>HYPERLINK("https://www.stromypodkontrolou.cz/map/tree/d5a9feae-08b7-4a08-a26f-b01f4eb3f1d0/3a6a214a-4197-4b4a-828b-aad041c971d4")</f>
        <v>https://www.stromypodkontrolou.cz/map/tree/d5a9feae-08b7-4a08-a26f-b01f4eb3f1d0/3a6a214a-4197-4b4a-828b-aad041c971d4</v>
      </c>
      <c r="O381" s="13" t="str">
        <f>HYPERLINK("https://www.mapy.cz?st=search&amp;fr=49.68312321 18.61172492")</f>
        <v>https://www.mapy.cz?st=search&amp;fr=49.68312321 18.61172492</v>
      </c>
    </row>
    <row r="382" spans="1:15" ht="48">
      <c r="A382" s="16"/>
      <c r="B382" s="13"/>
      <c r="C382" s="13"/>
      <c r="D382" s="14"/>
      <c r="E382" s="15"/>
      <c r="F382" s="13"/>
      <c r="G382" s="14"/>
      <c r="H382" s="14"/>
      <c r="I382" s="14"/>
      <c r="J382" s="13"/>
      <c r="K382" s="3" t="s">
        <v>89</v>
      </c>
      <c r="L382" s="7" t="s">
        <v>512</v>
      </c>
      <c r="M382" s="19"/>
      <c r="N382" s="13"/>
      <c r="O382" s="13"/>
    </row>
    <row r="383" spans="1:15" ht="120">
      <c r="A383" s="10">
        <v>303</v>
      </c>
      <c r="B383" s="3" t="s">
        <v>513</v>
      </c>
      <c r="C383" s="3" t="s">
        <v>514</v>
      </c>
      <c r="D383" s="7">
        <v>69</v>
      </c>
      <c r="E383" s="5" t="s">
        <v>515</v>
      </c>
      <c r="F383" s="3" t="s">
        <v>516</v>
      </c>
      <c r="G383" s="7" t="s">
        <v>360</v>
      </c>
      <c r="H383" s="7" t="s">
        <v>79</v>
      </c>
      <c r="I383" s="7" t="s">
        <v>359</v>
      </c>
      <c r="J383" s="3"/>
      <c r="K383" s="3" t="s">
        <v>129</v>
      </c>
      <c r="L383" s="7" t="s">
        <v>237</v>
      </c>
      <c r="M383" s="19"/>
      <c r="N383" s="3" t="str">
        <f>HYPERLINK("https://www.stromypodkontrolou.cz/map/tree/d5a9feae-08b7-4a08-a26f-b01f4eb3f1d0/3fbd461c-91fe-491e-9dc9-76d3929d8df9")</f>
        <v>https://www.stromypodkontrolou.cz/map/tree/d5a9feae-08b7-4a08-a26f-b01f4eb3f1d0/3fbd461c-91fe-491e-9dc9-76d3929d8df9</v>
      </c>
      <c r="O383" s="3" t="str">
        <f>HYPERLINK("https://www.mapy.cz?st=search&amp;fr=49.69342092 18.63067345")</f>
        <v>https://www.mapy.cz?st=search&amp;fr=49.69342092 18.63067345</v>
      </c>
    </row>
    <row r="384" spans="1:15" ht="120">
      <c r="A384" s="10">
        <v>304</v>
      </c>
      <c r="B384" s="3" t="s">
        <v>513</v>
      </c>
      <c r="C384" s="3" t="s">
        <v>514</v>
      </c>
      <c r="D384" s="7">
        <v>70</v>
      </c>
      <c r="E384" s="5" t="s">
        <v>515</v>
      </c>
      <c r="F384" s="3" t="s">
        <v>516</v>
      </c>
      <c r="G384" s="7" t="s">
        <v>517</v>
      </c>
      <c r="H384" s="7" t="s">
        <v>79</v>
      </c>
      <c r="I384" s="7" t="s">
        <v>80</v>
      </c>
      <c r="J384" s="3"/>
      <c r="K384" s="3" t="s">
        <v>129</v>
      </c>
      <c r="L384" s="7" t="s">
        <v>259</v>
      </c>
      <c r="M384" s="19"/>
      <c r="N384" s="3" t="str">
        <f>HYPERLINK("https://www.stromypodkontrolou.cz/map/tree/d5a9feae-08b7-4a08-a26f-b01f4eb3f1d0/30f642ed-9e92-4b5b-a425-a3356b7b392f")</f>
        <v>https://www.stromypodkontrolou.cz/map/tree/d5a9feae-08b7-4a08-a26f-b01f4eb3f1d0/30f642ed-9e92-4b5b-a425-a3356b7b392f</v>
      </c>
      <c r="O384" s="3" t="str">
        <f>HYPERLINK("https://www.mapy.cz?st=search&amp;fr=49.69339273 18.63072843")</f>
        <v>https://www.mapy.cz?st=search&amp;fr=49.69339273 18.63072843</v>
      </c>
    </row>
    <row r="385" spans="1:15" ht="120">
      <c r="A385" s="10">
        <v>305</v>
      </c>
      <c r="B385" s="3" t="s">
        <v>513</v>
      </c>
      <c r="C385" s="3" t="s">
        <v>514</v>
      </c>
      <c r="D385" s="7">
        <v>72</v>
      </c>
      <c r="E385" s="5" t="s">
        <v>515</v>
      </c>
      <c r="F385" s="3" t="s">
        <v>516</v>
      </c>
      <c r="G385" s="7" t="s">
        <v>518</v>
      </c>
      <c r="H385" s="7" t="s">
        <v>79</v>
      </c>
      <c r="I385" s="7" t="s">
        <v>87</v>
      </c>
      <c r="J385" s="3" t="s">
        <v>519</v>
      </c>
      <c r="K385" s="3" t="s">
        <v>129</v>
      </c>
      <c r="L385" s="7" t="s">
        <v>164</v>
      </c>
      <c r="M385" s="19"/>
      <c r="N385" s="3" t="str">
        <f>HYPERLINK("https://www.stromypodkontrolou.cz/map/tree/d5a9feae-08b7-4a08-a26f-b01f4eb3f1d0/0533bc2d-9e44-4603-acff-4f280ef7f920")</f>
        <v>https://www.stromypodkontrolou.cz/map/tree/d5a9feae-08b7-4a08-a26f-b01f4eb3f1d0/0533bc2d-9e44-4603-acff-4f280ef7f920</v>
      </c>
      <c r="O385" s="3" t="str">
        <f>HYPERLINK("https://www.mapy.cz?st=search&amp;fr=49.69334935 18.63081426")</f>
        <v>https://www.mapy.cz?st=search&amp;fr=49.69334935 18.63081426</v>
      </c>
    </row>
    <row r="386" spans="1:15" ht="120">
      <c r="A386" s="10">
        <v>306</v>
      </c>
      <c r="B386" s="3" t="s">
        <v>513</v>
      </c>
      <c r="C386" s="3" t="s">
        <v>514</v>
      </c>
      <c r="D386" s="7">
        <v>75</v>
      </c>
      <c r="E386" s="5" t="s">
        <v>515</v>
      </c>
      <c r="F386" s="3" t="s">
        <v>516</v>
      </c>
      <c r="G386" s="7" t="s">
        <v>343</v>
      </c>
      <c r="H386" s="7" t="s">
        <v>79</v>
      </c>
      <c r="I386" s="7" t="s">
        <v>253</v>
      </c>
      <c r="J386" s="3"/>
      <c r="K386" s="3" t="s">
        <v>129</v>
      </c>
      <c r="L386" s="7" t="s">
        <v>101</v>
      </c>
      <c r="M386" s="19"/>
      <c r="N386" s="3" t="str">
        <f>HYPERLINK("https://www.stromypodkontrolou.cz/map/tree/d5a9feae-08b7-4a08-a26f-b01f4eb3f1d0/d5d52d7e-089b-4de9-a314-2479c8caf6d7")</f>
        <v>https://www.stromypodkontrolou.cz/map/tree/d5a9feae-08b7-4a08-a26f-b01f4eb3f1d0/d5d52d7e-089b-4de9-a314-2479c8caf6d7</v>
      </c>
      <c r="O386" s="3" t="str">
        <f>HYPERLINK("https://www.mapy.cz?st=search&amp;fr=49.69329079 18.63092289")</f>
        <v>https://www.mapy.cz?st=search&amp;fr=49.69329079 18.63092289</v>
      </c>
    </row>
    <row r="387" spans="1:15" ht="120">
      <c r="A387" s="10">
        <v>307</v>
      </c>
      <c r="B387" s="3" t="s">
        <v>513</v>
      </c>
      <c r="C387" s="3" t="s">
        <v>514</v>
      </c>
      <c r="D387" s="7">
        <v>76</v>
      </c>
      <c r="E387" s="5" t="s">
        <v>515</v>
      </c>
      <c r="F387" s="3" t="s">
        <v>516</v>
      </c>
      <c r="G387" s="7" t="s">
        <v>520</v>
      </c>
      <c r="H387" s="7" t="s">
        <v>79</v>
      </c>
      <c r="I387" s="7" t="s">
        <v>87</v>
      </c>
      <c r="J387" s="3" t="s">
        <v>521</v>
      </c>
      <c r="K387" s="3" t="s">
        <v>129</v>
      </c>
      <c r="L387" s="7" t="s">
        <v>164</v>
      </c>
      <c r="M387" s="19"/>
      <c r="N387" s="3" t="str">
        <f>HYPERLINK("https://www.stromypodkontrolou.cz/map/tree/d5a9feae-08b7-4a08-a26f-b01f4eb3f1d0/3d973d5a-d542-4ef9-915e-2e95afe5303f")</f>
        <v>https://www.stromypodkontrolou.cz/map/tree/d5a9feae-08b7-4a08-a26f-b01f4eb3f1d0/3d973d5a-d542-4ef9-915e-2e95afe5303f</v>
      </c>
      <c r="O387" s="3" t="str">
        <f>HYPERLINK("https://www.mapy.cz?st=search&amp;fr=49.69327301 18.63096112")</f>
        <v>https://www.mapy.cz?st=search&amp;fr=49.69327301 18.63096112</v>
      </c>
    </row>
    <row r="388" spans="1:15" ht="120">
      <c r="A388" s="10">
        <v>308</v>
      </c>
      <c r="B388" s="3" t="s">
        <v>513</v>
      </c>
      <c r="C388" s="3" t="s">
        <v>514</v>
      </c>
      <c r="D388" s="7">
        <v>78</v>
      </c>
      <c r="E388" s="5" t="s">
        <v>515</v>
      </c>
      <c r="F388" s="3" t="s">
        <v>516</v>
      </c>
      <c r="G388" s="7" t="s">
        <v>127</v>
      </c>
      <c r="H388" s="7" t="s">
        <v>79</v>
      </c>
      <c r="I388" s="7" t="s">
        <v>87</v>
      </c>
      <c r="J388" s="3"/>
      <c r="K388" s="3" t="s">
        <v>129</v>
      </c>
      <c r="L388" s="7" t="s">
        <v>164</v>
      </c>
      <c r="M388" s="19"/>
      <c r="N388" s="3" t="str">
        <f>HYPERLINK("https://www.stromypodkontrolou.cz/map/tree/d5a9feae-08b7-4a08-a26f-b01f4eb3f1d0/450e0f4c-e4da-43ba-8233-dbf0024f8251")</f>
        <v>https://www.stromypodkontrolou.cz/map/tree/d5a9feae-08b7-4a08-a26f-b01f4eb3f1d0/450e0f4c-e4da-43ba-8233-dbf0024f8251</v>
      </c>
      <c r="O388" s="3" t="str">
        <f>HYPERLINK("https://www.mapy.cz?st=search&amp;fr=49.69318495 18.63111803")</f>
        <v>https://www.mapy.cz?st=search&amp;fr=49.69318495 18.63111803</v>
      </c>
    </row>
    <row r="389" spans="1:15" ht="120">
      <c r="A389" s="10">
        <v>309</v>
      </c>
      <c r="B389" s="3" t="s">
        <v>522</v>
      </c>
      <c r="C389" s="3" t="s">
        <v>523</v>
      </c>
      <c r="D389" s="7">
        <v>889</v>
      </c>
      <c r="E389" s="5" t="s">
        <v>123</v>
      </c>
      <c r="F389" s="3" t="s">
        <v>124</v>
      </c>
      <c r="G389" s="7" t="s">
        <v>21</v>
      </c>
      <c r="H389" s="7" t="s">
        <v>33</v>
      </c>
      <c r="I389" s="7" t="s">
        <v>22</v>
      </c>
      <c r="J389" s="3"/>
      <c r="K389" s="3" t="s">
        <v>23</v>
      </c>
      <c r="L389" s="7" t="s">
        <v>125</v>
      </c>
      <c r="M389" s="19"/>
      <c r="N389" s="3" t="str">
        <f>HYPERLINK("https://www.stromypodkontrolou.cz/map/tree/d5a9feae-08b7-4a08-a26f-b01f4eb3f1d0/878def41-a4b1-4d45-90f3-0fb7b92124bb")</f>
        <v>https://www.stromypodkontrolou.cz/map/tree/d5a9feae-08b7-4a08-a26f-b01f4eb3f1d0/878def41-a4b1-4d45-90f3-0fb7b92124bb</v>
      </c>
      <c r="O389" s="3" t="str">
        <f>HYPERLINK("https://www.mapy.cz?st=search&amp;fr=49.65460669 18.63781552")</f>
        <v>https://www.mapy.cz?st=search&amp;fr=49.65460669 18.63781552</v>
      </c>
    </row>
    <row r="390" spans="1:15" ht="120">
      <c r="A390" s="10">
        <v>310</v>
      </c>
      <c r="B390" s="3" t="s">
        <v>522</v>
      </c>
      <c r="C390" s="3" t="s">
        <v>523</v>
      </c>
      <c r="D390" s="7">
        <v>899</v>
      </c>
      <c r="E390" s="5" t="s">
        <v>123</v>
      </c>
      <c r="F390" s="3" t="s">
        <v>124</v>
      </c>
      <c r="G390" s="7" t="s">
        <v>21</v>
      </c>
      <c r="H390" s="7" t="s">
        <v>33</v>
      </c>
      <c r="I390" s="7" t="s">
        <v>22</v>
      </c>
      <c r="J390" s="3"/>
      <c r="K390" s="3" t="s">
        <v>23</v>
      </c>
      <c r="L390" s="7" t="s">
        <v>125</v>
      </c>
      <c r="M390" s="19"/>
      <c r="N390" s="3" t="str">
        <f>HYPERLINK("https://www.stromypodkontrolou.cz/map/tree/d5a9feae-08b7-4a08-a26f-b01f4eb3f1d0/b59bce15-d48b-4c4b-91c0-1dd8452983de")</f>
        <v>https://www.stromypodkontrolou.cz/map/tree/d5a9feae-08b7-4a08-a26f-b01f4eb3f1d0/b59bce15-d48b-4c4b-91c0-1dd8452983de</v>
      </c>
      <c r="O390" s="3" t="str">
        <f>HYPERLINK("https://www.mapy.cz?st=search&amp;fr=49.65412048 18.63810755")</f>
        <v>https://www.mapy.cz?st=search&amp;fr=49.65412048 18.63810755</v>
      </c>
    </row>
    <row r="391" spans="1:15" ht="120">
      <c r="A391" s="10">
        <v>311</v>
      </c>
      <c r="B391" s="3" t="s">
        <v>522</v>
      </c>
      <c r="C391" s="3" t="s">
        <v>523</v>
      </c>
      <c r="D391" s="7">
        <v>900</v>
      </c>
      <c r="E391" s="5" t="s">
        <v>123</v>
      </c>
      <c r="F391" s="3" t="s">
        <v>124</v>
      </c>
      <c r="G391" s="7" t="s">
        <v>20</v>
      </c>
      <c r="H391" s="7" t="s">
        <v>33</v>
      </c>
      <c r="I391" s="7" t="s">
        <v>22</v>
      </c>
      <c r="J391" s="3"/>
      <c r="K391" s="3" t="s">
        <v>23</v>
      </c>
      <c r="L391" s="7" t="s">
        <v>125</v>
      </c>
      <c r="M391" s="19"/>
      <c r="N391" s="3" t="str">
        <f>HYPERLINK("https://www.stromypodkontrolou.cz/map/tree/d5a9feae-08b7-4a08-a26f-b01f4eb3f1d0/e94485f5-ec24-424e-a6c2-010be8098323")</f>
        <v>https://www.stromypodkontrolou.cz/map/tree/d5a9feae-08b7-4a08-a26f-b01f4eb3f1d0/e94485f5-ec24-424e-a6c2-010be8098323</v>
      </c>
      <c r="O391" s="3" t="str">
        <f>HYPERLINK("https://www.mapy.cz?st=search&amp;fr=49.65424659 18.63803613")</f>
        <v>https://www.mapy.cz?st=search&amp;fr=49.65424659 18.63803613</v>
      </c>
    </row>
    <row r="392" spans="1:15" ht="120">
      <c r="A392" s="10">
        <v>312</v>
      </c>
      <c r="B392" s="3" t="s">
        <v>522</v>
      </c>
      <c r="C392" s="3" t="s">
        <v>523</v>
      </c>
      <c r="D392" s="7">
        <v>904</v>
      </c>
      <c r="E392" s="5" t="s">
        <v>123</v>
      </c>
      <c r="F392" s="3" t="s">
        <v>124</v>
      </c>
      <c r="G392" s="7" t="s">
        <v>20</v>
      </c>
      <c r="H392" s="7" t="s">
        <v>33</v>
      </c>
      <c r="I392" s="7" t="s">
        <v>22</v>
      </c>
      <c r="J392" s="3" t="s">
        <v>401</v>
      </c>
      <c r="K392" s="3" t="s">
        <v>23</v>
      </c>
      <c r="L392" s="7" t="s">
        <v>125</v>
      </c>
      <c r="M392" s="19"/>
      <c r="N392" s="3" t="str">
        <f>HYPERLINK("https://www.stromypodkontrolou.cz/map/tree/d5a9feae-08b7-4a08-a26f-b01f4eb3f1d0/41c8019c-7493-41d5-b920-1306ccc98bcf")</f>
        <v>https://www.stromypodkontrolou.cz/map/tree/d5a9feae-08b7-4a08-a26f-b01f4eb3f1d0/41c8019c-7493-41d5-b920-1306ccc98bcf</v>
      </c>
      <c r="O392" s="3" t="str">
        <f>HYPERLINK("https://www.mapy.cz?st=search&amp;fr=49.65408922 18.63815985")</f>
        <v>https://www.mapy.cz?st=search&amp;fr=49.65408922 18.63815985</v>
      </c>
    </row>
    <row r="393" spans="1:15" ht="12.75" customHeight="1">
      <c r="A393" s="16">
        <v>313</v>
      </c>
      <c r="B393" s="13" t="s">
        <v>522</v>
      </c>
      <c r="C393" s="13" t="s">
        <v>523</v>
      </c>
      <c r="D393" s="14">
        <v>906</v>
      </c>
      <c r="E393" s="15" t="s">
        <v>123</v>
      </c>
      <c r="F393" s="13" t="s">
        <v>124</v>
      </c>
      <c r="G393" s="14" t="s">
        <v>21</v>
      </c>
      <c r="H393" s="14" t="s">
        <v>33</v>
      </c>
      <c r="I393" s="14" t="s">
        <v>22</v>
      </c>
      <c r="J393" s="13"/>
      <c r="K393" s="3" t="s">
        <v>23</v>
      </c>
      <c r="L393" s="7" t="s">
        <v>125</v>
      </c>
      <c r="M393" s="19"/>
      <c r="N393" s="13" t="str">
        <f>HYPERLINK("https://www.stromypodkontrolou.cz/map/tree/d5a9feae-08b7-4a08-a26f-b01f4eb3f1d0/f1ba3870-665d-4530-99aa-2e1cd7261148")</f>
        <v>https://www.stromypodkontrolou.cz/map/tree/d5a9feae-08b7-4a08-a26f-b01f4eb3f1d0/f1ba3870-665d-4530-99aa-2e1cd7261148</v>
      </c>
      <c r="O393" s="13" t="str">
        <f>HYPERLINK("https://www.mapy.cz?st=search&amp;fr=49.65406665 18.63821886")</f>
        <v>https://www.mapy.cz?st=search&amp;fr=49.65406665 18.63821886</v>
      </c>
    </row>
    <row r="394" spans="1:15" ht="36">
      <c r="A394" s="16"/>
      <c r="B394" s="13"/>
      <c r="C394" s="13"/>
      <c r="D394" s="14"/>
      <c r="E394" s="15"/>
      <c r="F394" s="13"/>
      <c r="G394" s="14"/>
      <c r="H394" s="14"/>
      <c r="I394" s="14"/>
      <c r="J394" s="13"/>
      <c r="K394" s="3" t="s">
        <v>430</v>
      </c>
      <c r="L394" s="7" t="s">
        <v>431</v>
      </c>
      <c r="M394" s="19"/>
      <c r="N394" s="13"/>
      <c r="O394" s="13"/>
    </row>
    <row r="395" spans="1:15" ht="36">
      <c r="A395" s="16">
        <v>314</v>
      </c>
      <c r="B395" s="13" t="s">
        <v>522</v>
      </c>
      <c r="C395" s="13" t="s">
        <v>523</v>
      </c>
      <c r="D395" s="14">
        <v>909</v>
      </c>
      <c r="E395" s="15" t="s">
        <v>40</v>
      </c>
      <c r="F395" s="13" t="s">
        <v>41</v>
      </c>
      <c r="G395" s="14" t="s">
        <v>21</v>
      </c>
      <c r="H395" s="14" t="s">
        <v>33</v>
      </c>
      <c r="I395" s="14" t="s">
        <v>22</v>
      </c>
      <c r="J395" s="13"/>
      <c r="K395" s="3" t="s">
        <v>430</v>
      </c>
      <c r="L395" s="7" t="s">
        <v>431</v>
      </c>
      <c r="M395" s="19"/>
      <c r="N395" s="13" t="str">
        <f>HYPERLINK("https://www.stromypodkontrolou.cz/map/tree/d5a9feae-08b7-4a08-a26f-b01f4eb3f1d0/aa54d046-60e1-4f26-926b-66c36cd69b56")</f>
        <v>https://www.stromypodkontrolou.cz/map/tree/d5a9feae-08b7-4a08-a26f-b01f4eb3f1d0/aa54d046-60e1-4f26-926b-66c36cd69b56</v>
      </c>
      <c r="O395" s="13" t="str">
        <f>HYPERLINK("https://www.mapy.cz?st=search&amp;fr=49.65400587 18.63831877")</f>
        <v>https://www.mapy.cz?st=search&amp;fr=49.65400587 18.63831877</v>
      </c>
    </row>
    <row r="396" spans="1:15" ht="12.75">
      <c r="A396" s="16"/>
      <c r="B396" s="13"/>
      <c r="C396" s="13"/>
      <c r="D396" s="14"/>
      <c r="E396" s="15"/>
      <c r="F396" s="13"/>
      <c r="G396" s="14"/>
      <c r="H396" s="14"/>
      <c r="I396" s="14"/>
      <c r="J396" s="13"/>
      <c r="K396" s="3" t="s">
        <v>23</v>
      </c>
      <c r="L396" s="7" t="s">
        <v>125</v>
      </c>
      <c r="M396" s="19"/>
      <c r="N396" s="13"/>
      <c r="O396" s="13"/>
    </row>
    <row r="397" spans="1:15" ht="36">
      <c r="A397" s="16">
        <v>315</v>
      </c>
      <c r="B397" s="13" t="s">
        <v>522</v>
      </c>
      <c r="C397" s="13" t="s">
        <v>523</v>
      </c>
      <c r="D397" s="14">
        <v>910</v>
      </c>
      <c r="E397" s="15" t="s">
        <v>40</v>
      </c>
      <c r="F397" s="13" t="s">
        <v>41</v>
      </c>
      <c r="G397" s="14" t="s">
        <v>21</v>
      </c>
      <c r="H397" s="14" t="s">
        <v>33</v>
      </c>
      <c r="I397" s="14" t="s">
        <v>22</v>
      </c>
      <c r="J397" s="13"/>
      <c r="K397" s="3" t="s">
        <v>430</v>
      </c>
      <c r="L397" s="7" t="s">
        <v>431</v>
      </c>
      <c r="M397" s="19"/>
      <c r="N397" s="13" t="str">
        <f>HYPERLINK("https://www.stromypodkontrolou.cz/map/tree/d5a9feae-08b7-4a08-a26f-b01f4eb3f1d0/6c0c45e8-4326-49eb-9778-c928a43321d8")</f>
        <v>https://www.stromypodkontrolou.cz/map/tree/d5a9feae-08b7-4a08-a26f-b01f4eb3f1d0/6c0c45e8-4326-49eb-9778-c928a43321d8</v>
      </c>
      <c r="O397" s="13" t="str">
        <f>HYPERLINK("https://www.mapy.cz?st=search&amp;fr=49.65395769 18.63834056")</f>
        <v>https://www.mapy.cz?st=search&amp;fr=49.65395769 18.63834056</v>
      </c>
    </row>
    <row r="398" spans="1:15" ht="12.75">
      <c r="A398" s="16"/>
      <c r="B398" s="13"/>
      <c r="C398" s="13"/>
      <c r="D398" s="14"/>
      <c r="E398" s="15"/>
      <c r="F398" s="13"/>
      <c r="G398" s="14"/>
      <c r="H398" s="14"/>
      <c r="I398" s="14"/>
      <c r="J398" s="13"/>
      <c r="K398" s="3" t="s">
        <v>23</v>
      </c>
      <c r="L398" s="7" t="s">
        <v>125</v>
      </c>
      <c r="M398" s="19"/>
      <c r="N398" s="13"/>
      <c r="O398" s="13"/>
    </row>
    <row r="399" spans="1:15" ht="120">
      <c r="A399" s="10">
        <v>316</v>
      </c>
      <c r="B399" s="3" t="s">
        <v>522</v>
      </c>
      <c r="C399" s="3" t="s">
        <v>523</v>
      </c>
      <c r="D399" s="7">
        <v>911</v>
      </c>
      <c r="E399" s="5" t="s">
        <v>40</v>
      </c>
      <c r="F399" s="3" t="s">
        <v>41</v>
      </c>
      <c r="G399" s="7" t="s">
        <v>22</v>
      </c>
      <c r="H399" s="7" t="s">
        <v>33</v>
      </c>
      <c r="I399" s="7" t="s">
        <v>22</v>
      </c>
      <c r="J399" s="3"/>
      <c r="K399" s="3" t="s">
        <v>23</v>
      </c>
      <c r="L399" s="7" t="s">
        <v>125</v>
      </c>
      <c r="M399" s="19"/>
      <c r="N399" s="3" t="str">
        <f>HYPERLINK("https://www.stromypodkontrolou.cz/map/tree/d5a9feae-08b7-4a08-a26f-b01f4eb3f1d0/6275126f-facb-4e3f-950a-2e27f5373a1d")</f>
        <v>https://www.stromypodkontrolou.cz/map/tree/d5a9feae-08b7-4a08-a26f-b01f4eb3f1d0/6275126f-facb-4e3f-950a-2e27f5373a1d</v>
      </c>
      <c r="O399" s="3" t="str">
        <f>HYPERLINK("https://www.mapy.cz?st=search&amp;fr=49.65387846 18.63839723")</f>
        <v>https://www.mapy.cz?st=search&amp;fr=49.65387846 18.63839723</v>
      </c>
    </row>
    <row r="400" spans="1:15" ht="36">
      <c r="A400" s="16">
        <v>317</v>
      </c>
      <c r="B400" s="13" t="s">
        <v>522</v>
      </c>
      <c r="C400" s="13" t="s">
        <v>523</v>
      </c>
      <c r="D400" s="14">
        <v>912</v>
      </c>
      <c r="E400" s="15" t="s">
        <v>40</v>
      </c>
      <c r="F400" s="13" t="s">
        <v>41</v>
      </c>
      <c r="G400" s="14" t="s">
        <v>21</v>
      </c>
      <c r="H400" s="14" t="s">
        <v>33</v>
      </c>
      <c r="I400" s="14" t="s">
        <v>22</v>
      </c>
      <c r="J400" s="13"/>
      <c r="K400" s="3" t="s">
        <v>430</v>
      </c>
      <c r="L400" s="7" t="s">
        <v>431</v>
      </c>
      <c r="M400" s="19"/>
      <c r="N400" s="13" t="str">
        <f>HYPERLINK("https://www.stromypodkontrolou.cz/map/tree/d5a9feae-08b7-4a08-a26f-b01f4eb3f1d0/3c7429b7-e9be-4188-8774-c0f309e75545")</f>
        <v>https://www.stromypodkontrolou.cz/map/tree/d5a9feae-08b7-4a08-a26f-b01f4eb3f1d0/3c7429b7-e9be-4188-8774-c0f309e75545</v>
      </c>
      <c r="O400" s="13" t="str">
        <f>HYPERLINK("https://www.mapy.cz?st=search&amp;fr=49.65381486 18.63843779")</f>
        <v>https://www.mapy.cz?st=search&amp;fr=49.65381486 18.63843779</v>
      </c>
    </row>
    <row r="401" spans="1:15" ht="12.75">
      <c r="A401" s="16"/>
      <c r="B401" s="13"/>
      <c r="C401" s="13"/>
      <c r="D401" s="14"/>
      <c r="E401" s="15"/>
      <c r="F401" s="13"/>
      <c r="G401" s="14"/>
      <c r="H401" s="14"/>
      <c r="I401" s="14"/>
      <c r="J401" s="13"/>
      <c r="K401" s="3" t="s">
        <v>23</v>
      </c>
      <c r="L401" s="7" t="s">
        <v>125</v>
      </c>
      <c r="M401" s="19"/>
      <c r="N401" s="13"/>
      <c r="O401" s="13"/>
    </row>
    <row r="402" spans="1:15" ht="120">
      <c r="A402" s="10">
        <v>318</v>
      </c>
      <c r="B402" s="3" t="s">
        <v>522</v>
      </c>
      <c r="C402" s="3" t="s">
        <v>523</v>
      </c>
      <c r="D402" s="7">
        <v>915</v>
      </c>
      <c r="E402" s="5" t="s">
        <v>29</v>
      </c>
      <c r="F402" s="3" t="s">
        <v>30</v>
      </c>
      <c r="G402" s="7" t="s">
        <v>22</v>
      </c>
      <c r="H402" s="7" t="s">
        <v>19</v>
      </c>
      <c r="I402" s="7" t="s">
        <v>22</v>
      </c>
      <c r="J402" s="3"/>
      <c r="K402" s="3" t="s">
        <v>23</v>
      </c>
      <c r="L402" s="7" t="s">
        <v>125</v>
      </c>
      <c r="M402" s="19"/>
      <c r="N402" s="3" t="str">
        <f>HYPERLINK("https://www.stromypodkontrolou.cz/map/tree/d5a9feae-08b7-4a08-a26f-b01f4eb3f1d0/be52ab7c-2f32-490a-b656-9f2eeb26dd00")</f>
        <v>https://www.stromypodkontrolou.cz/map/tree/d5a9feae-08b7-4a08-a26f-b01f4eb3f1d0/be52ab7c-2f32-490a-b656-9f2eeb26dd00</v>
      </c>
      <c r="O402" s="3" t="str">
        <f>HYPERLINK("https://www.mapy.cz?st=search&amp;fr=49.65370069 18.63849814")</f>
        <v>https://www.mapy.cz?st=search&amp;fr=49.65370069 18.63849814</v>
      </c>
    </row>
    <row r="403" spans="1:15" ht="36">
      <c r="A403" s="16">
        <v>319</v>
      </c>
      <c r="B403" s="13" t="s">
        <v>522</v>
      </c>
      <c r="C403" s="13" t="s">
        <v>523</v>
      </c>
      <c r="D403" s="14">
        <v>916</v>
      </c>
      <c r="E403" s="15" t="s">
        <v>121</v>
      </c>
      <c r="F403" s="13" t="s">
        <v>122</v>
      </c>
      <c r="G403" s="14" t="s">
        <v>21</v>
      </c>
      <c r="H403" s="14" t="s">
        <v>58</v>
      </c>
      <c r="I403" s="14" t="s">
        <v>22</v>
      </c>
      <c r="J403" s="13"/>
      <c r="K403" s="3" t="s">
        <v>430</v>
      </c>
      <c r="L403" s="7" t="s">
        <v>431</v>
      </c>
      <c r="M403" s="19"/>
      <c r="N403" s="13" t="str">
        <f>HYPERLINK("https://www.stromypodkontrolou.cz/map/tree/d5a9feae-08b7-4a08-a26f-b01f4eb3f1d0/9dc58a77-94ad-44c3-81ea-2487385e116b")</f>
        <v>https://www.stromypodkontrolou.cz/map/tree/d5a9feae-08b7-4a08-a26f-b01f4eb3f1d0/9dc58a77-94ad-44c3-81ea-2487385e116b</v>
      </c>
      <c r="O403" s="13" t="str">
        <f>HYPERLINK("https://www.mapy.cz?st=search&amp;fr=49.65360198 18.63855655")</f>
        <v>https://www.mapy.cz?st=search&amp;fr=49.65360198 18.63855655</v>
      </c>
    </row>
    <row r="404" spans="1:15" ht="12.75">
      <c r="A404" s="16"/>
      <c r="B404" s="13"/>
      <c r="C404" s="13"/>
      <c r="D404" s="14"/>
      <c r="E404" s="15"/>
      <c r="F404" s="13"/>
      <c r="G404" s="14"/>
      <c r="H404" s="14"/>
      <c r="I404" s="14"/>
      <c r="J404" s="13"/>
      <c r="K404" s="3" t="s">
        <v>23</v>
      </c>
      <c r="L404" s="7" t="s">
        <v>125</v>
      </c>
      <c r="M404" s="19"/>
      <c r="N404" s="13"/>
      <c r="O404" s="13"/>
    </row>
    <row r="405" spans="1:15" ht="120">
      <c r="A405" s="10">
        <v>320</v>
      </c>
      <c r="B405" s="3" t="s">
        <v>522</v>
      </c>
      <c r="C405" s="3" t="s">
        <v>523</v>
      </c>
      <c r="D405" s="7">
        <v>929</v>
      </c>
      <c r="E405" s="5" t="s">
        <v>308</v>
      </c>
      <c r="F405" s="3" t="s">
        <v>309</v>
      </c>
      <c r="G405" s="7" t="s">
        <v>22</v>
      </c>
      <c r="H405" s="7" t="s">
        <v>33</v>
      </c>
      <c r="I405" s="7" t="s">
        <v>22</v>
      </c>
      <c r="J405" s="3"/>
      <c r="K405" s="3" t="s">
        <v>23</v>
      </c>
      <c r="L405" s="7" t="s">
        <v>125</v>
      </c>
      <c r="M405" s="19"/>
      <c r="N405" s="3" t="str">
        <f>HYPERLINK("https://www.stromypodkontrolou.cz/map/tree/d5a9feae-08b7-4a08-a26f-b01f4eb3f1d0/9289d8a2-4bda-4668-aa2a-63e671d44bf5")</f>
        <v>https://www.stromypodkontrolou.cz/map/tree/d5a9feae-08b7-4a08-a26f-b01f4eb3f1d0/9289d8a2-4bda-4668-aa2a-63e671d44bf5</v>
      </c>
      <c r="O405" s="3" t="str">
        <f>HYPERLINK("https://www.mapy.cz?st=search&amp;fr=49.65294163 18.63861584")</f>
        <v>https://www.mapy.cz?st=search&amp;fr=49.65294163 18.63861584</v>
      </c>
    </row>
    <row r="406" spans="1:15" ht="12.75" customHeight="1">
      <c r="A406" s="16">
        <v>321</v>
      </c>
      <c r="B406" s="13" t="s">
        <v>522</v>
      </c>
      <c r="C406" s="13" t="s">
        <v>523</v>
      </c>
      <c r="D406" s="14">
        <v>934</v>
      </c>
      <c r="E406" s="15" t="s">
        <v>40</v>
      </c>
      <c r="F406" s="13" t="s">
        <v>41</v>
      </c>
      <c r="G406" s="14" t="s">
        <v>22</v>
      </c>
      <c r="H406" s="14" t="s">
        <v>19</v>
      </c>
      <c r="I406" s="14" t="s">
        <v>22</v>
      </c>
      <c r="J406" s="13"/>
      <c r="K406" s="3" t="s">
        <v>23</v>
      </c>
      <c r="L406" s="7" t="s">
        <v>125</v>
      </c>
      <c r="M406" s="19"/>
      <c r="N406" s="13" t="str">
        <f>HYPERLINK("https://www.stromypodkontrolou.cz/map/tree/d5a9feae-08b7-4a08-a26f-b01f4eb3f1d0/8245c68a-2900-4541-8d15-acf829b3cedc")</f>
        <v>https://www.stromypodkontrolou.cz/map/tree/d5a9feae-08b7-4a08-a26f-b01f4eb3f1d0/8245c68a-2900-4541-8d15-acf829b3cedc</v>
      </c>
      <c r="O406" s="13" t="str">
        <f>HYPERLINK("https://www.mapy.cz?st=search&amp;fr=49.65241267 18.63853005")</f>
        <v>https://www.mapy.cz?st=search&amp;fr=49.65241267 18.63853005</v>
      </c>
    </row>
    <row r="407" spans="1:15" ht="36">
      <c r="A407" s="16"/>
      <c r="B407" s="13"/>
      <c r="C407" s="13"/>
      <c r="D407" s="14"/>
      <c r="E407" s="15"/>
      <c r="F407" s="13"/>
      <c r="G407" s="14"/>
      <c r="H407" s="14"/>
      <c r="I407" s="14"/>
      <c r="J407" s="13"/>
      <c r="K407" s="3" t="s">
        <v>430</v>
      </c>
      <c r="L407" s="7" t="s">
        <v>431</v>
      </c>
      <c r="M407" s="19"/>
      <c r="N407" s="13"/>
      <c r="O407" s="13"/>
    </row>
    <row r="408" spans="1:15" ht="36">
      <c r="A408" s="16">
        <v>322</v>
      </c>
      <c r="B408" s="13" t="s">
        <v>522</v>
      </c>
      <c r="C408" s="13" t="s">
        <v>523</v>
      </c>
      <c r="D408" s="14">
        <v>936</v>
      </c>
      <c r="E408" s="15" t="s">
        <v>40</v>
      </c>
      <c r="F408" s="13" t="s">
        <v>41</v>
      </c>
      <c r="G408" s="14" t="s">
        <v>21</v>
      </c>
      <c r="H408" s="14" t="s">
        <v>19</v>
      </c>
      <c r="I408" s="14" t="s">
        <v>22</v>
      </c>
      <c r="J408" s="13"/>
      <c r="K408" s="3" t="s">
        <v>430</v>
      </c>
      <c r="L408" s="7" t="s">
        <v>431</v>
      </c>
      <c r="M408" s="19"/>
      <c r="N408" s="13" t="str">
        <f>HYPERLINK("https://www.stromypodkontrolou.cz/map/tree/d5a9feae-08b7-4a08-a26f-b01f4eb3f1d0/75e57f46-b932-4b09-972b-9482037ca5f3")</f>
        <v>https://www.stromypodkontrolou.cz/map/tree/d5a9feae-08b7-4a08-a26f-b01f4eb3f1d0/75e57f46-b932-4b09-972b-9482037ca5f3</v>
      </c>
      <c r="O408" s="13" t="str">
        <f>HYPERLINK("https://www.mapy.cz?st=search&amp;fr=49.65235058 18.63848414")</f>
        <v>https://www.mapy.cz?st=search&amp;fr=49.65235058 18.63848414</v>
      </c>
    </row>
    <row r="409" spans="1:15" ht="12.75">
      <c r="A409" s="16"/>
      <c r="B409" s="13"/>
      <c r="C409" s="13"/>
      <c r="D409" s="14"/>
      <c r="E409" s="15"/>
      <c r="F409" s="13"/>
      <c r="G409" s="14"/>
      <c r="H409" s="14"/>
      <c r="I409" s="14"/>
      <c r="J409" s="13"/>
      <c r="K409" s="3" t="s">
        <v>23</v>
      </c>
      <c r="L409" s="7" t="s">
        <v>125</v>
      </c>
      <c r="M409" s="19"/>
      <c r="N409" s="13"/>
      <c r="O409" s="13"/>
    </row>
    <row r="410" spans="1:15" ht="36">
      <c r="A410" s="16">
        <v>323</v>
      </c>
      <c r="B410" s="13" t="s">
        <v>522</v>
      </c>
      <c r="C410" s="13" t="s">
        <v>523</v>
      </c>
      <c r="D410" s="14">
        <v>938</v>
      </c>
      <c r="E410" s="15" t="s">
        <v>29</v>
      </c>
      <c r="F410" s="13" t="s">
        <v>30</v>
      </c>
      <c r="G410" s="14" t="s">
        <v>21</v>
      </c>
      <c r="H410" s="14" t="s">
        <v>33</v>
      </c>
      <c r="I410" s="14" t="s">
        <v>22</v>
      </c>
      <c r="J410" s="13"/>
      <c r="K410" s="3" t="s">
        <v>430</v>
      </c>
      <c r="L410" s="7" t="s">
        <v>431</v>
      </c>
      <c r="M410" s="19"/>
      <c r="N410" s="13" t="str">
        <f>HYPERLINK("https://www.stromypodkontrolou.cz/map/tree/d5a9feae-08b7-4a08-a26f-b01f4eb3f1d0/30115db2-0a71-43dc-8245-666e4c963566")</f>
        <v>https://www.stromypodkontrolou.cz/map/tree/d5a9feae-08b7-4a08-a26f-b01f4eb3f1d0/30115db2-0a71-43dc-8245-666e4c963566</v>
      </c>
      <c r="O410" s="13" t="str">
        <f>HYPERLINK("https://www.mapy.cz?st=search&amp;fr=49.65228876 18.63843827")</f>
        <v>https://www.mapy.cz?st=search&amp;fr=49.65228876 18.63843827</v>
      </c>
    </row>
    <row r="411" spans="1:15" ht="12.75">
      <c r="A411" s="16"/>
      <c r="B411" s="13"/>
      <c r="C411" s="13"/>
      <c r="D411" s="14"/>
      <c r="E411" s="15"/>
      <c r="F411" s="13"/>
      <c r="G411" s="14"/>
      <c r="H411" s="14"/>
      <c r="I411" s="14"/>
      <c r="J411" s="13"/>
      <c r="K411" s="3" t="s">
        <v>23</v>
      </c>
      <c r="L411" s="7" t="s">
        <v>125</v>
      </c>
      <c r="M411" s="19"/>
      <c r="N411" s="13"/>
      <c r="O411" s="13"/>
    </row>
    <row r="412" spans="1:15" ht="36">
      <c r="A412" s="16">
        <v>324</v>
      </c>
      <c r="B412" s="13" t="s">
        <v>522</v>
      </c>
      <c r="C412" s="13" t="s">
        <v>523</v>
      </c>
      <c r="D412" s="14">
        <v>939</v>
      </c>
      <c r="E412" s="15" t="s">
        <v>40</v>
      </c>
      <c r="F412" s="13" t="s">
        <v>41</v>
      </c>
      <c r="G412" s="14" t="s">
        <v>21</v>
      </c>
      <c r="H412" s="14" t="s">
        <v>33</v>
      </c>
      <c r="I412" s="14" t="s">
        <v>22</v>
      </c>
      <c r="J412" s="13"/>
      <c r="K412" s="3" t="s">
        <v>430</v>
      </c>
      <c r="L412" s="7" t="s">
        <v>431</v>
      </c>
      <c r="M412" s="19"/>
      <c r="N412" s="13" t="str">
        <f>HYPERLINK("https://www.stromypodkontrolou.cz/map/tree/d5a9feae-08b7-4a08-a26f-b01f4eb3f1d0/a73cf73f-144a-4b18-86e5-d716aee09fb6")</f>
        <v>https://www.stromypodkontrolou.cz/map/tree/d5a9feae-08b7-4a08-a26f-b01f4eb3f1d0/a73cf73f-144a-4b18-86e5-d716aee09fb6</v>
      </c>
      <c r="O412" s="13" t="str">
        <f>HYPERLINK("https://www.mapy.cz?st=search&amp;fr=49.65225913 18.63841374")</f>
        <v>https://www.mapy.cz?st=search&amp;fr=49.65225913 18.63841374</v>
      </c>
    </row>
    <row r="413" spans="1:15" ht="12.75">
      <c r="A413" s="16"/>
      <c r="B413" s="13"/>
      <c r="C413" s="13"/>
      <c r="D413" s="14"/>
      <c r="E413" s="15"/>
      <c r="F413" s="13"/>
      <c r="G413" s="14"/>
      <c r="H413" s="14"/>
      <c r="I413" s="14"/>
      <c r="J413" s="13"/>
      <c r="K413" s="3" t="s">
        <v>23</v>
      </c>
      <c r="L413" s="7" t="s">
        <v>125</v>
      </c>
      <c r="M413" s="19"/>
      <c r="N413" s="13"/>
      <c r="O413" s="13"/>
    </row>
    <row r="414" spans="1:15" ht="36">
      <c r="A414" s="16">
        <v>325</v>
      </c>
      <c r="B414" s="13" t="s">
        <v>522</v>
      </c>
      <c r="C414" s="13" t="s">
        <v>523</v>
      </c>
      <c r="D414" s="14">
        <v>941</v>
      </c>
      <c r="E414" s="15" t="s">
        <v>29</v>
      </c>
      <c r="F414" s="13" t="s">
        <v>30</v>
      </c>
      <c r="G414" s="14" t="s">
        <v>21</v>
      </c>
      <c r="H414" s="14" t="s">
        <v>33</v>
      </c>
      <c r="I414" s="14" t="s">
        <v>22</v>
      </c>
      <c r="J414" s="13"/>
      <c r="K414" s="3" t="s">
        <v>430</v>
      </c>
      <c r="L414" s="7" t="s">
        <v>431</v>
      </c>
      <c r="M414" s="19"/>
      <c r="N414" s="13" t="str">
        <f>HYPERLINK("https://www.stromypodkontrolou.cz/map/tree/d5a9feae-08b7-4a08-a26f-b01f4eb3f1d0/c86cccef-b135-48e4-bbb0-26405ad02a1d")</f>
        <v>https://www.stromypodkontrolou.cz/map/tree/d5a9feae-08b7-4a08-a26f-b01f4eb3f1d0/c86cccef-b135-48e4-bbb0-26405ad02a1d</v>
      </c>
      <c r="O414" s="13" t="str">
        <f>HYPERLINK("https://www.mapy.cz?st=search&amp;fr=49.65219778 18.63836766")</f>
        <v>https://www.mapy.cz?st=search&amp;fr=49.65219778 18.63836766</v>
      </c>
    </row>
    <row r="415" spans="1:15" ht="12.75">
      <c r="A415" s="16"/>
      <c r="B415" s="13"/>
      <c r="C415" s="13"/>
      <c r="D415" s="14"/>
      <c r="E415" s="15"/>
      <c r="F415" s="13"/>
      <c r="G415" s="14"/>
      <c r="H415" s="14"/>
      <c r="I415" s="14"/>
      <c r="J415" s="13"/>
      <c r="K415" s="3" t="s">
        <v>23</v>
      </c>
      <c r="L415" s="7" t="s">
        <v>125</v>
      </c>
      <c r="M415" s="19"/>
      <c r="N415" s="13"/>
      <c r="O415" s="13"/>
    </row>
    <row r="416" spans="1:15" ht="36">
      <c r="A416" s="16">
        <v>326</v>
      </c>
      <c r="B416" s="13" t="s">
        <v>522</v>
      </c>
      <c r="C416" s="13" t="s">
        <v>523</v>
      </c>
      <c r="D416" s="14">
        <v>942</v>
      </c>
      <c r="E416" s="15" t="s">
        <v>29</v>
      </c>
      <c r="F416" s="13" t="s">
        <v>30</v>
      </c>
      <c r="G416" s="14" t="s">
        <v>22</v>
      </c>
      <c r="H416" s="14" t="s">
        <v>33</v>
      </c>
      <c r="I416" s="14" t="s">
        <v>22</v>
      </c>
      <c r="J416" s="13"/>
      <c r="K416" s="3" t="s">
        <v>430</v>
      </c>
      <c r="L416" s="7" t="s">
        <v>431</v>
      </c>
      <c r="M416" s="19"/>
      <c r="N416" s="13" t="str">
        <f>HYPERLINK("https://www.stromypodkontrolou.cz/map/tree/d5a9feae-08b7-4a08-a26f-b01f4eb3f1d0/ba363795-11cc-41e1-b4fd-bf2f7f24cd87")</f>
        <v>https://www.stromypodkontrolou.cz/map/tree/d5a9feae-08b7-4a08-a26f-b01f4eb3f1d0/ba363795-11cc-41e1-b4fd-bf2f7f24cd87</v>
      </c>
      <c r="O416" s="13" t="str">
        <f>HYPERLINK("https://www.mapy.cz?st=search&amp;fr=49.65216135 18.63834259")</f>
        <v>https://www.mapy.cz?st=search&amp;fr=49.65216135 18.63834259</v>
      </c>
    </row>
    <row r="417" spans="1:15" ht="12.75">
      <c r="A417" s="16"/>
      <c r="B417" s="13"/>
      <c r="C417" s="13"/>
      <c r="D417" s="14"/>
      <c r="E417" s="15"/>
      <c r="F417" s="13"/>
      <c r="G417" s="14"/>
      <c r="H417" s="14"/>
      <c r="I417" s="14"/>
      <c r="J417" s="13"/>
      <c r="K417" s="3" t="s">
        <v>23</v>
      </c>
      <c r="L417" s="7" t="s">
        <v>125</v>
      </c>
      <c r="M417" s="19"/>
      <c r="N417" s="13"/>
      <c r="O417" s="13"/>
    </row>
    <row r="418" spans="1:15" ht="36">
      <c r="A418" s="16">
        <v>327</v>
      </c>
      <c r="B418" s="13" t="s">
        <v>522</v>
      </c>
      <c r="C418" s="13" t="s">
        <v>523</v>
      </c>
      <c r="D418" s="14">
        <v>943</v>
      </c>
      <c r="E418" s="15" t="s">
        <v>175</v>
      </c>
      <c r="F418" s="13" t="s">
        <v>176</v>
      </c>
      <c r="G418" s="14" t="s">
        <v>21</v>
      </c>
      <c r="H418" s="14" t="s">
        <v>33</v>
      </c>
      <c r="I418" s="14" t="s">
        <v>22</v>
      </c>
      <c r="J418" s="13"/>
      <c r="K418" s="3" t="s">
        <v>430</v>
      </c>
      <c r="L418" s="7" t="s">
        <v>431</v>
      </c>
      <c r="M418" s="19"/>
      <c r="N418" s="13" t="str">
        <f>HYPERLINK("https://www.stromypodkontrolou.cz/map/tree/d5a9feae-08b7-4a08-a26f-b01f4eb3f1d0/591c758a-fb28-40f9-9a77-fdfcd1edd6b7")</f>
        <v>https://www.stromypodkontrolou.cz/map/tree/d5a9feae-08b7-4a08-a26f-b01f4eb3f1d0/591c758a-fb28-40f9-9a77-fdfcd1edd6b7</v>
      </c>
      <c r="O418" s="13" t="str">
        <f>HYPERLINK("https://www.mapy.cz?st=search&amp;fr=49.65211888 18.63831318")</f>
        <v>https://www.mapy.cz?st=search&amp;fr=49.65211888 18.63831318</v>
      </c>
    </row>
    <row r="419" spans="1:15" ht="12.75">
      <c r="A419" s="16"/>
      <c r="B419" s="13"/>
      <c r="C419" s="13"/>
      <c r="D419" s="14"/>
      <c r="E419" s="15"/>
      <c r="F419" s="13"/>
      <c r="G419" s="14"/>
      <c r="H419" s="14"/>
      <c r="I419" s="14"/>
      <c r="J419" s="13"/>
      <c r="K419" s="3" t="s">
        <v>23</v>
      </c>
      <c r="L419" s="7" t="s">
        <v>125</v>
      </c>
      <c r="M419" s="19"/>
      <c r="N419" s="13"/>
      <c r="O419" s="13"/>
    </row>
    <row r="420" spans="1:15" ht="12.75" customHeight="1">
      <c r="A420" s="16">
        <v>328</v>
      </c>
      <c r="B420" s="13" t="s">
        <v>522</v>
      </c>
      <c r="C420" s="13" t="s">
        <v>523</v>
      </c>
      <c r="D420" s="14">
        <v>944</v>
      </c>
      <c r="E420" s="15" t="s">
        <v>175</v>
      </c>
      <c r="F420" s="13" t="s">
        <v>176</v>
      </c>
      <c r="G420" s="14" t="s">
        <v>22</v>
      </c>
      <c r="H420" s="14" t="s">
        <v>33</v>
      </c>
      <c r="I420" s="14" t="s">
        <v>22</v>
      </c>
      <c r="J420" s="13"/>
      <c r="K420" s="3" t="s">
        <v>23</v>
      </c>
      <c r="L420" s="7" t="s">
        <v>125</v>
      </c>
      <c r="M420" s="19"/>
      <c r="N420" s="13" t="str">
        <f>HYPERLINK("https://www.stromypodkontrolou.cz/map/tree/d5a9feae-08b7-4a08-a26f-b01f4eb3f1d0/c404147f-58ee-45a7-8b4e-6ac8b56e3c15")</f>
        <v>https://www.stromypodkontrolou.cz/map/tree/d5a9feae-08b7-4a08-a26f-b01f4eb3f1d0/c404147f-58ee-45a7-8b4e-6ac8b56e3c15</v>
      </c>
      <c r="O420" s="13" t="str">
        <f>HYPERLINK("https://www.mapy.cz?st=search&amp;fr=49.65207560 18.63828642")</f>
        <v>https://www.mapy.cz?st=search&amp;fr=49.65207560 18.63828642</v>
      </c>
    </row>
    <row r="421" spans="1:15" ht="36">
      <c r="A421" s="16"/>
      <c r="B421" s="13"/>
      <c r="C421" s="13"/>
      <c r="D421" s="14"/>
      <c r="E421" s="15"/>
      <c r="F421" s="13"/>
      <c r="G421" s="14"/>
      <c r="H421" s="14"/>
      <c r="I421" s="14"/>
      <c r="J421" s="13"/>
      <c r="K421" s="3" t="s">
        <v>430</v>
      </c>
      <c r="L421" s="7" t="s">
        <v>431</v>
      </c>
      <c r="M421" s="19"/>
      <c r="N421" s="13"/>
      <c r="O421" s="13"/>
    </row>
    <row r="422" spans="1:15" ht="36">
      <c r="A422" s="16">
        <v>329</v>
      </c>
      <c r="B422" s="13" t="s">
        <v>522</v>
      </c>
      <c r="C422" s="13" t="s">
        <v>523</v>
      </c>
      <c r="D422" s="14">
        <v>946</v>
      </c>
      <c r="E422" s="15" t="s">
        <v>175</v>
      </c>
      <c r="F422" s="13" t="s">
        <v>176</v>
      </c>
      <c r="G422" s="14" t="s">
        <v>21</v>
      </c>
      <c r="H422" s="14" t="s">
        <v>33</v>
      </c>
      <c r="I422" s="14" t="s">
        <v>22</v>
      </c>
      <c r="J422" s="13"/>
      <c r="K422" s="3" t="s">
        <v>430</v>
      </c>
      <c r="L422" s="7" t="s">
        <v>431</v>
      </c>
      <c r="M422" s="19"/>
      <c r="N422" s="13" t="str">
        <f>HYPERLINK("https://www.stromypodkontrolou.cz/map/tree/d5a9feae-08b7-4a08-a26f-b01f4eb3f1d0/ff53230a-78dc-4e41-bab5-87dfd9ee5b93")</f>
        <v>https://www.stromypodkontrolou.cz/map/tree/d5a9feae-08b7-4a08-a26f-b01f4eb3f1d0/ff53230a-78dc-4e41-bab5-87dfd9ee5b93</v>
      </c>
      <c r="O422" s="13" t="str">
        <f>HYPERLINK("https://www.mapy.cz?st=search&amp;fr=49.65198654 18.63822910")</f>
        <v>https://www.mapy.cz?st=search&amp;fr=49.65198654 18.63822910</v>
      </c>
    </row>
    <row r="423" spans="1:15" ht="12.75">
      <c r="A423" s="16"/>
      <c r="B423" s="13"/>
      <c r="C423" s="13"/>
      <c r="D423" s="14"/>
      <c r="E423" s="15"/>
      <c r="F423" s="13"/>
      <c r="G423" s="14"/>
      <c r="H423" s="14"/>
      <c r="I423" s="14"/>
      <c r="J423" s="13"/>
      <c r="K423" s="3" t="s">
        <v>23</v>
      </c>
      <c r="L423" s="7" t="s">
        <v>125</v>
      </c>
      <c r="M423" s="19"/>
      <c r="N423" s="13"/>
      <c r="O423" s="13"/>
    </row>
    <row r="424" spans="1:15" ht="12.75" customHeight="1">
      <c r="A424" s="16">
        <v>330</v>
      </c>
      <c r="B424" s="13" t="s">
        <v>522</v>
      </c>
      <c r="C424" s="13" t="s">
        <v>523</v>
      </c>
      <c r="D424" s="14">
        <v>948</v>
      </c>
      <c r="E424" s="15" t="s">
        <v>175</v>
      </c>
      <c r="F424" s="13" t="s">
        <v>176</v>
      </c>
      <c r="G424" s="14" t="s">
        <v>21</v>
      </c>
      <c r="H424" s="14" t="s">
        <v>33</v>
      </c>
      <c r="I424" s="14" t="s">
        <v>22</v>
      </c>
      <c r="J424" s="13"/>
      <c r="K424" s="3" t="s">
        <v>23</v>
      </c>
      <c r="L424" s="7" t="s">
        <v>125</v>
      </c>
      <c r="M424" s="19"/>
      <c r="N424" s="13" t="str">
        <f>HYPERLINK("https://www.stromypodkontrolou.cz/map/tree/d5a9feae-08b7-4a08-a26f-b01f4eb3f1d0/79b217e0-bd1f-41c1-8163-64bed35df727")</f>
        <v>https://www.stromypodkontrolou.cz/map/tree/d5a9feae-08b7-4a08-a26f-b01f4eb3f1d0/79b217e0-bd1f-41c1-8163-64bed35df727</v>
      </c>
      <c r="O424" s="13" t="str">
        <f>HYPERLINK("https://www.mapy.cz?st=search&amp;fr=49.65188741 18.63820218")</f>
        <v>https://www.mapy.cz?st=search&amp;fr=49.65188741 18.63820218</v>
      </c>
    </row>
    <row r="425" spans="1:15" ht="36">
      <c r="A425" s="16"/>
      <c r="B425" s="13"/>
      <c r="C425" s="13"/>
      <c r="D425" s="14"/>
      <c r="E425" s="15"/>
      <c r="F425" s="13"/>
      <c r="G425" s="14"/>
      <c r="H425" s="14"/>
      <c r="I425" s="14"/>
      <c r="J425" s="13"/>
      <c r="K425" s="3" t="s">
        <v>430</v>
      </c>
      <c r="L425" s="7" t="s">
        <v>431</v>
      </c>
      <c r="M425" s="19"/>
      <c r="N425" s="13"/>
      <c r="O425" s="13"/>
    </row>
    <row r="426" spans="1:15" ht="36">
      <c r="A426" s="16">
        <v>331</v>
      </c>
      <c r="B426" s="13" t="s">
        <v>522</v>
      </c>
      <c r="C426" s="13" t="s">
        <v>523</v>
      </c>
      <c r="D426" s="14">
        <v>951</v>
      </c>
      <c r="E426" s="15" t="s">
        <v>175</v>
      </c>
      <c r="F426" s="13" t="s">
        <v>176</v>
      </c>
      <c r="G426" s="14" t="s">
        <v>22</v>
      </c>
      <c r="H426" s="14" t="s">
        <v>19</v>
      </c>
      <c r="I426" s="14" t="s">
        <v>22</v>
      </c>
      <c r="J426" s="13"/>
      <c r="K426" s="3" t="s">
        <v>430</v>
      </c>
      <c r="L426" s="7" t="s">
        <v>431</v>
      </c>
      <c r="M426" s="19"/>
      <c r="N426" s="13" t="str">
        <f>HYPERLINK("https://www.stromypodkontrolou.cz/map/tree/d5a9feae-08b7-4a08-a26f-b01f4eb3f1d0/49e364b6-97d4-4b65-ad61-372316d7536c")</f>
        <v>https://www.stromypodkontrolou.cz/map/tree/d5a9feae-08b7-4a08-a26f-b01f4eb3f1d0/49e364b6-97d4-4b65-ad61-372316d7536c</v>
      </c>
      <c r="O426" s="13" t="str">
        <f>HYPERLINK("https://www.mapy.cz?st=search&amp;fr=49.65174338 18.63817873")</f>
        <v>https://www.mapy.cz?st=search&amp;fr=49.65174338 18.63817873</v>
      </c>
    </row>
    <row r="427" spans="1:15" ht="12.75">
      <c r="A427" s="16"/>
      <c r="B427" s="13"/>
      <c r="C427" s="13"/>
      <c r="D427" s="14"/>
      <c r="E427" s="15"/>
      <c r="F427" s="13"/>
      <c r="G427" s="14"/>
      <c r="H427" s="14"/>
      <c r="I427" s="14"/>
      <c r="J427" s="13"/>
      <c r="K427" s="3" t="s">
        <v>23</v>
      </c>
      <c r="L427" s="7" t="s">
        <v>125</v>
      </c>
      <c r="M427" s="19"/>
      <c r="N427" s="13"/>
      <c r="O427" s="13"/>
    </row>
    <row r="428" spans="1:15" ht="120">
      <c r="A428" s="10">
        <v>332</v>
      </c>
      <c r="B428" s="3" t="s">
        <v>522</v>
      </c>
      <c r="C428" s="3" t="s">
        <v>523</v>
      </c>
      <c r="D428" s="7">
        <v>953</v>
      </c>
      <c r="E428" s="5" t="s">
        <v>175</v>
      </c>
      <c r="F428" s="3" t="s">
        <v>176</v>
      </c>
      <c r="G428" s="7" t="s">
        <v>22</v>
      </c>
      <c r="H428" s="7" t="s">
        <v>19</v>
      </c>
      <c r="I428" s="7" t="s">
        <v>22</v>
      </c>
      <c r="J428" s="3"/>
      <c r="K428" s="3" t="s">
        <v>23</v>
      </c>
      <c r="L428" s="7" t="s">
        <v>125</v>
      </c>
      <c r="M428" s="19"/>
      <c r="N428" s="3" t="str">
        <f>HYPERLINK("https://www.stromypodkontrolou.cz/map/tree/d5a9feae-08b7-4a08-a26f-b01f4eb3f1d0/f69b4604-5d6b-4151-b4ec-e3ddbe0d1a3c")</f>
        <v>https://www.stromypodkontrolou.cz/map/tree/d5a9feae-08b7-4a08-a26f-b01f4eb3f1d0/f69b4604-5d6b-4151-b4ec-e3ddbe0d1a3c</v>
      </c>
      <c r="O428" s="3" t="str">
        <f>HYPERLINK("https://www.mapy.cz?st=search&amp;fr=49.65165674 18.63818135")</f>
        <v>https://www.mapy.cz?st=search&amp;fr=49.65165674 18.63818135</v>
      </c>
    </row>
    <row r="429" spans="1:15" ht="36">
      <c r="A429" s="16">
        <v>333</v>
      </c>
      <c r="B429" s="13" t="s">
        <v>522</v>
      </c>
      <c r="C429" s="13" t="s">
        <v>523</v>
      </c>
      <c r="D429" s="14">
        <v>960</v>
      </c>
      <c r="E429" s="15" t="s">
        <v>76</v>
      </c>
      <c r="F429" s="13" t="s">
        <v>77</v>
      </c>
      <c r="G429" s="14" t="s">
        <v>21</v>
      </c>
      <c r="H429" s="14" t="s">
        <v>33</v>
      </c>
      <c r="I429" s="14" t="s">
        <v>22</v>
      </c>
      <c r="J429" s="13"/>
      <c r="K429" s="3" t="s">
        <v>430</v>
      </c>
      <c r="L429" s="7" t="s">
        <v>431</v>
      </c>
      <c r="M429" s="19"/>
      <c r="N429" s="13" t="str">
        <f>HYPERLINK("https://www.stromypodkontrolou.cz/map/tree/d5a9feae-08b7-4a08-a26f-b01f4eb3f1d0/a5b430aa-d76f-4466-bacc-5ac610b0298a")</f>
        <v>https://www.stromypodkontrolou.cz/map/tree/d5a9feae-08b7-4a08-a26f-b01f4eb3f1d0/a5b430aa-d76f-4466-bacc-5ac610b0298a</v>
      </c>
      <c r="O429" s="13" t="str">
        <f>HYPERLINK("https://www.mapy.cz?st=search&amp;fr=49.65131239 18.63825372")</f>
        <v>https://www.mapy.cz?st=search&amp;fr=49.65131239 18.63825372</v>
      </c>
    </row>
    <row r="430" spans="1:15" ht="12.75">
      <c r="A430" s="16"/>
      <c r="B430" s="13"/>
      <c r="C430" s="13"/>
      <c r="D430" s="14"/>
      <c r="E430" s="15"/>
      <c r="F430" s="13"/>
      <c r="G430" s="14"/>
      <c r="H430" s="14"/>
      <c r="I430" s="14"/>
      <c r="J430" s="13"/>
      <c r="K430" s="3" t="s">
        <v>23</v>
      </c>
      <c r="L430" s="7" t="s">
        <v>125</v>
      </c>
      <c r="M430" s="19"/>
      <c r="N430" s="13"/>
      <c r="O430" s="13"/>
    </row>
    <row r="431" spans="1:15" ht="36">
      <c r="A431" s="16">
        <v>334</v>
      </c>
      <c r="B431" s="13" t="s">
        <v>522</v>
      </c>
      <c r="C431" s="13" t="s">
        <v>523</v>
      </c>
      <c r="D431" s="14">
        <v>961</v>
      </c>
      <c r="E431" s="15" t="s">
        <v>76</v>
      </c>
      <c r="F431" s="13" t="s">
        <v>77</v>
      </c>
      <c r="G431" s="14" t="s">
        <v>22</v>
      </c>
      <c r="H431" s="14" t="s">
        <v>33</v>
      </c>
      <c r="I431" s="14" t="s">
        <v>22</v>
      </c>
      <c r="J431" s="13"/>
      <c r="K431" s="3" t="s">
        <v>430</v>
      </c>
      <c r="L431" s="7" t="s">
        <v>431</v>
      </c>
      <c r="M431" s="19"/>
      <c r="N431" s="13" t="str">
        <f>HYPERLINK("https://www.stromypodkontrolou.cz/map/tree/d5a9feae-08b7-4a08-a26f-b01f4eb3f1d0/479c54c2-fe74-4141-a183-e26246c896e3")</f>
        <v>https://www.stromypodkontrolou.cz/map/tree/d5a9feae-08b7-4a08-a26f-b01f4eb3f1d0/479c54c2-fe74-4141-a183-e26246c896e3</v>
      </c>
      <c r="O431" s="13" t="str">
        <f>HYPERLINK("https://www.mapy.cz?st=search&amp;fr=49.65126363 18.63826612")</f>
        <v>https://www.mapy.cz?st=search&amp;fr=49.65126363 18.63826612</v>
      </c>
    </row>
    <row r="432" spans="1:15" ht="12.75">
      <c r="A432" s="16"/>
      <c r="B432" s="13"/>
      <c r="C432" s="13"/>
      <c r="D432" s="14"/>
      <c r="E432" s="15"/>
      <c r="F432" s="13"/>
      <c r="G432" s="14"/>
      <c r="H432" s="14"/>
      <c r="I432" s="14"/>
      <c r="J432" s="13"/>
      <c r="K432" s="3" t="s">
        <v>23</v>
      </c>
      <c r="L432" s="7" t="s">
        <v>125</v>
      </c>
      <c r="M432" s="19"/>
      <c r="N432" s="13"/>
      <c r="O432" s="13"/>
    </row>
    <row r="433" spans="1:15" ht="36">
      <c r="A433" s="16">
        <v>335</v>
      </c>
      <c r="B433" s="13" t="s">
        <v>522</v>
      </c>
      <c r="C433" s="13" t="s">
        <v>523</v>
      </c>
      <c r="D433" s="14">
        <v>963</v>
      </c>
      <c r="E433" s="15" t="s">
        <v>76</v>
      </c>
      <c r="F433" s="13" t="s">
        <v>77</v>
      </c>
      <c r="G433" s="14" t="s">
        <v>22</v>
      </c>
      <c r="H433" s="14" t="s">
        <v>19</v>
      </c>
      <c r="I433" s="14" t="s">
        <v>22</v>
      </c>
      <c r="J433" s="13"/>
      <c r="K433" s="3" t="s">
        <v>430</v>
      </c>
      <c r="L433" s="7" t="s">
        <v>431</v>
      </c>
      <c r="M433" s="19"/>
      <c r="N433" s="13" t="str">
        <f>HYPERLINK("https://www.stromypodkontrolou.cz/map/tree/d5a9feae-08b7-4a08-a26f-b01f4eb3f1d0/c8971344-e015-466c-bd44-d6451374041b")</f>
        <v>https://www.stromypodkontrolou.cz/map/tree/d5a9feae-08b7-4a08-a26f-b01f4eb3f1d0/c8971344-e015-466c-bd44-d6451374041b</v>
      </c>
      <c r="O433" s="13" t="str">
        <f>HYPERLINK("https://www.mapy.cz?st=search&amp;fr=49.65116704 18.63829273")</f>
        <v>https://www.mapy.cz?st=search&amp;fr=49.65116704 18.63829273</v>
      </c>
    </row>
    <row r="434" spans="1:15" ht="12.75">
      <c r="A434" s="16"/>
      <c r="B434" s="13"/>
      <c r="C434" s="13"/>
      <c r="D434" s="14"/>
      <c r="E434" s="15"/>
      <c r="F434" s="13"/>
      <c r="G434" s="14"/>
      <c r="H434" s="14"/>
      <c r="I434" s="14"/>
      <c r="J434" s="13"/>
      <c r="K434" s="3" t="s">
        <v>23</v>
      </c>
      <c r="L434" s="7" t="s">
        <v>125</v>
      </c>
      <c r="M434" s="19"/>
      <c r="N434" s="13"/>
      <c r="O434" s="13"/>
    </row>
    <row r="435" spans="1:15" ht="36">
      <c r="A435" s="16">
        <v>336</v>
      </c>
      <c r="B435" s="13" t="s">
        <v>522</v>
      </c>
      <c r="C435" s="13" t="s">
        <v>523</v>
      </c>
      <c r="D435" s="14">
        <v>964</v>
      </c>
      <c r="E435" s="15" t="s">
        <v>175</v>
      </c>
      <c r="F435" s="13" t="s">
        <v>176</v>
      </c>
      <c r="G435" s="14" t="s">
        <v>22</v>
      </c>
      <c r="H435" s="14" t="s">
        <v>33</v>
      </c>
      <c r="I435" s="14" t="s">
        <v>22</v>
      </c>
      <c r="J435" s="13"/>
      <c r="K435" s="3" t="s">
        <v>430</v>
      </c>
      <c r="L435" s="7" t="s">
        <v>431</v>
      </c>
      <c r="M435" s="19"/>
      <c r="N435" s="13" t="str">
        <f>HYPERLINK("https://www.stromypodkontrolou.cz/map/tree/d5a9feae-08b7-4a08-a26f-b01f4eb3f1d0/135dd380-c9d5-49a8-af00-6b137923c52d")</f>
        <v>https://www.stromypodkontrolou.cz/map/tree/d5a9feae-08b7-4a08-a26f-b01f4eb3f1d0/135dd380-c9d5-49a8-af00-6b137923c52d</v>
      </c>
      <c r="O435" s="13" t="str">
        <f>HYPERLINK("https://www.mapy.cz?st=search&amp;fr=49.65111924 18.63830416")</f>
        <v>https://www.mapy.cz?st=search&amp;fr=49.65111924 18.63830416</v>
      </c>
    </row>
    <row r="436" spans="1:15" ht="12.75">
      <c r="A436" s="16"/>
      <c r="B436" s="13"/>
      <c r="C436" s="13"/>
      <c r="D436" s="14"/>
      <c r="E436" s="15"/>
      <c r="F436" s="13"/>
      <c r="G436" s="14"/>
      <c r="H436" s="14"/>
      <c r="I436" s="14"/>
      <c r="J436" s="13"/>
      <c r="K436" s="3" t="s">
        <v>23</v>
      </c>
      <c r="L436" s="7" t="s">
        <v>125</v>
      </c>
      <c r="M436" s="19"/>
      <c r="N436" s="13"/>
      <c r="O436" s="13"/>
    </row>
    <row r="437" spans="1:15" ht="36">
      <c r="A437" s="16">
        <v>337</v>
      </c>
      <c r="B437" s="13" t="s">
        <v>522</v>
      </c>
      <c r="C437" s="13" t="s">
        <v>523</v>
      </c>
      <c r="D437" s="14">
        <v>965</v>
      </c>
      <c r="E437" s="15" t="s">
        <v>175</v>
      </c>
      <c r="F437" s="13" t="s">
        <v>176</v>
      </c>
      <c r="G437" s="14" t="s">
        <v>21</v>
      </c>
      <c r="H437" s="14" t="s">
        <v>33</v>
      </c>
      <c r="I437" s="14" t="s">
        <v>22</v>
      </c>
      <c r="J437" s="13"/>
      <c r="K437" s="3" t="s">
        <v>430</v>
      </c>
      <c r="L437" s="7" t="s">
        <v>431</v>
      </c>
      <c r="M437" s="19"/>
      <c r="N437" s="13" t="str">
        <f>HYPERLINK("https://www.stromypodkontrolou.cz/map/tree/d5a9feae-08b7-4a08-a26f-b01f4eb3f1d0/c79e4baa-4d44-41b6-8720-4edc52a7ed95")</f>
        <v>https://www.stromypodkontrolou.cz/map/tree/d5a9feae-08b7-4a08-a26f-b01f4eb3f1d0/c79e4baa-4d44-41b6-8720-4edc52a7ed95</v>
      </c>
      <c r="O437" s="13" t="str">
        <f>HYPERLINK("https://www.mapy.cz?st=search&amp;fr=49.65106776 18.63831293")</f>
        <v>https://www.mapy.cz?st=search&amp;fr=49.65106776 18.63831293</v>
      </c>
    </row>
    <row r="438" spans="1:15" ht="12.75">
      <c r="A438" s="16"/>
      <c r="B438" s="13"/>
      <c r="C438" s="13"/>
      <c r="D438" s="14"/>
      <c r="E438" s="15"/>
      <c r="F438" s="13"/>
      <c r="G438" s="14"/>
      <c r="H438" s="14"/>
      <c r="I438" s="14"/>
      <c r="J438" s="13"/>
      <c r="K438" s="3" t="s">
        <v>23</v>
      </c>
      <c r="L438" s="7" t="s">
        <v>125</v>
      </c>
      <c r="M438" s="19"/>
      <c r="N438" s="13"/>
      <c r="O438" s="13"/>
    </row>
    <row r="439" spans="1:15" ht="120">
      <c r="A439" s="10">
        <v>338</v>
      </c>
      <c r="B439" s="3" t="s">
        <v>522</v>
      </c>
      <c r="C439" s="3" t="s">
        <v>523</v>
      </c>
      <c r="D439" s="7">
        <v>966</v>
      </c>
      <c r="E439" s="5" t="s">
        <v>175</v>
      </c>
      <c r="F439" s="3" t="s">
        <v>176</v>
      </c>
      <c r="G439" s="7" t="s">
        <v>21</v>
      </c>
      <c r="H439" s="7" t="s">
        <v>33</v>
      </c>
      <c r="I439" s="7" t="s">
        <v>22</v>
      </c>
      <c r="J439" s="3"/>
      <c r="K439" s="3" t="s">
        <v>23</v>
      </c>
      <c r="L439" s="7" t="s">
        <v>125</v>
      </c>
      <c r="M439" s="19"/>
      <c r="N439" s="3" t="str">
        <f>HYPERLINK("https://www.stromypodkontrolou.cz/map/tree/d5a9feae-08b7-4a08-a26f-b01f4eb3f1d0/b0404140-ceb4-475a-9233-08d0a260f0cb")</f>
        <v>https://www.stromypodkontrolou.cz/map/tree/d5a9feae-08b7-4a08-a26f-b01f4eb3f1d0/b0404140-ceb4-475a-9233-08d0a260f0cb</v>
      </c>
      <c r="O439" s="3" t="str">
        <f>HYPERLINK("https://www.mapy.cz?st=search&amp;fr=49.65101682 18.63832717")</f>
        <v>https://www.mapy.cz?st=search&amp;fr=49.65101682 18.63832717</v>
      </c>
    </row>
    <row r="440" spans="1:15" ht="12.75" customHeight="1">
      <c r="A440" s="16">
        <v>339</v>
      </c>
      <c r="B440" s="13" t="s">
        <v>522</v>
      </c>
      <c r="C440" s="13" t="s">
        <v>523</v>
      </c>
      <c r="D440" s="14">
        <v>967</v>
      </c>
      <c r="E440" s="15" t="s">
        <v>175</v>
      </c>
      <c r="F440" s="13" t="s">
        <v>176</v>
      </c>
      <c r="G440" s="14" t="s">
        <v>21</v>
      </c>
      <c r="H440" s="14" t="s">
        <v>33</v>
      </c>
      <c r="I440" s="14" t="s">
        <v>22</v>
      </c>
      <c r="J440" s="13"/>
      <c r="K440" s="3" t="s">
        <v>23</v>
      </c>
      <c r="L440" s="7" t="s">
        <v>125</v>
      </c>
      <c r="M440" s="19"/>
      <c r="N440" s="13" t="str">
        <f>HYPERLINK("https://www.stromypodkontrolou.cz/map/tree/d5a9feae-08b7-4a08-a26f-b01f4eb3f1d0/c265724c-15e3-477f-ae84-3712518d068c")</f>
        <v>https://www.stromypodkontrolou.cz/map/tree/d5a9feae-08b7-4a08-a26f-b01f4eb3f1d0/c265724c-15e3-477f-ae84-3712518d068c</v>
      </c>
      <c r="O440" s="13" t="str">
        <f>HYPERLINK("https://www.mapy.cz?st=search&amp;fr=49.65095966 18.63834254")</f>
        <v>https://www.mapy.cz?st=search&amp;fr=49.65095966 18.63834254</v>
      </c>
    </row>
    <row r="441" spans="1:15" ht="36">
      <c r="A441" s="16"/>
      <c r="B441" s="13"/>
      <c r="C441" s="13"/>
      <c r="D441" s="14"/>
      <c r="E441" s="15"/>
      <c r="F441" s="13"/>
      <c r="G441" s="14"/>
      <c r="H441" s="14"/>
      <c r="I441" s="14"/>
      <c r="J441" s="13"/>
      <c r="K441" s="3" t="s">
        <v>430</v>
      </c>
      <c r="L441" s="7" t="s">
        <v>431</v>
      </c>
      <c r="M441" s="19"/>
      <c r="N441" s="13"/>
      <c r="O441" s="13"/>
    </row>
    <row r="442" spans="1:15" ht="36">
      <c r="A442" s="16">
        <v>340</v>
      </c>
      <c r="B442" s="13" t="s">
        <v>522</v>
      </c>
      <c r="C442" s="13" t="s">
        <v>523</v>
      </c>
      <c r="D442" s="14">
        <v>968</v>
      </c>
      <c r="E442" s="15" t="s">
        <v>40</v>
      </c>
      <c r="F442" s="13" t="s">
        <v>41</v>
      </c>
      <c r="G442" s="14" t="s">
        <v>21</v>
      </c>
      <c r="H442" s="14" t="s">
        <v>33</v>
      </c>
      <c r="I442" s="14" t="s">
        <v>22</v>
      </c>
      <c r="J442" s="13"/>
      <c r="K442" s="3" t="s">
        <v>430</v>
      </c>
      <c r="L442" s="7" t="s">
        <v>431</v>
      </c>
      <c r="M442" s="19"/>
      <c r="N442" s="13" t="str">
        <f>HYPERLINK("https://www.stromypodkontrolou.cz/map/tree/d5a9feae-08b7-4a08-a26f-b01f4eb3f1d0/c81aa559-4fb4-4120-bd33-0280979c6a1d")</f>
        <v>https://www.stromypodkontrolou.cz/map/tree/d5a9feae-08b7-4a08-a26f-b01f4eb3f1d0/c81aa559-4fb4-4120-bd33-0280979c6a1d</v>
      </c>
      <c r="O442" s="13" t="str">
        <f>HYPERLINK("https://www.mapy.cz?st=search&amp;fr=49.65091096 18.63835599")</f>
        <v>https://www.mapy.cz?st=search&amp;fr=49.65091096 18.63835599</v>
      </c>
    </row>
    <row r="443" spans="1:15" ht="12.75">
      <c r="A443" s="16"/>
      <c r="B443" s="13"/>
      <c r="C443" s="13"/>
      <c r="D443" s="14"/>
      <c r="E443" s="15"/>
      <c r="F443" s="13"/>
      <c r="G443" s="14"/>
      <c r="H443" s="14"/>
      <c r="I443" s="14"/>
      <c r="J443" s="13"/>
      <c r="K443" s="3" t="s">
        <v>23</v>
      </c>
      <c r="L443" s="7" t="s">
        <v>125</v>
      </c>
      <c r="M443" s="19"/>
      <c r="N443" s="13"/>
      <c r="O443" s="13"/>
    </row>
    <row r="444" spans="1:15" ht="120">
      <c r="A444" s="10">
        <v>341</v>
      </c>
      <c r="B444" s="3" t="s">
        <v>522</v>
      </c>
      <c r="C444" s="3" t="s">
        <v>523</v>
      </c>
      <c r="D444" s="7">
        <v>969</v>
      </c>
      <c r="E444" s="5" t="s">
        <v>153</v>
      </c>
      <c r="F444" s="3" t="s">
        <v>154</v>
      </c>
      <c r="G444" s="7" t="s">
        <v>21</v>
      </c>
      <c r="H444" s="7" t="s">
        <v>33</v>
      </c>
      <c r="I444" s="7" t="s">
        <v>22</v>
      </c>
      <c r="J444" s="3"/>
      <c r="K444" s="3" t="s">
        <v>23</v>
      </c>
      <c r="L444" s="7" t="s">
        <v>125</v>
      </c>
      <c r="M444" s="19"/>
      <c r="N444" s="3" t="str">
        <f>HYPERLINK("https://www.stromypodkontrolou.cz/map/tree/d5a9feae-08b7-4a08-a26f-b01f4eb3f1d0/686b9264-33c9-4fbc-8c46-fe9d60a3f81c")</f>
        <v>https://www.stromypodkontrolou.cz/map/tree/d5a9feae-08b7-4a08-a26f-b01f4eb3f1d0/686b9264-33c9-4fbc-8c46-fe9d60a3f81c</v>
      </c>
      <c r="O444" s="3" t="str">
        <f>HYPERLINK("https://www.mapy.cz?st=search&amp;fr=49.65087167 18.63837074")</f>
        <v>https://www.mapy.cz?st=search&amp;fr=49.65087167 18.63837074</v>
      </c>
    </row>
    <row r="445" spans="1:15" ht="120">
      <c r="A445" s="10">
        <v>342</v>
      </c>
      <c r="B445" s="3" t="s">
        <v>522</v>
      </c>
      <c r="C445" s="3" t="s">
        <v>523</v>
      </c>
      <c r="D445" s="7">
        <v>971</v>
      </c>
      <c r="E445" s="5" t="s">
        <v>248</v>
      </c>
      <c r="F445" s="3" t="s">
        <v>249</v>
      </c>
      <c r="G445" s="7" t="s">
        <v>22</v>
      </c>
      <c r="H445" s="7" t="s">
        <v>19</v>
      </c>
      <c r="I445" s="7" t="s">
        <v>22</v>
      </c>
      <c r="J445" s="3"/>
      <c r="K445" s="3" t="s">
        <v>23</v>
      </c>
      <c r="L445" s="7" t="s">
        <v>125</v>
      </c>
      <c r="M445" s="19"/>
      <c r="N445" s="3" t="str">
        <f>HYPERLINK("https://www.stromypodkontrolou.cz/map/tree/d5a9feae-08b7-4a08-a26f-b01f4eb3f1d0/1bd07742-6ef7-4de5-9feb-bdea467ab040")</f>
        <v>https://www.stromypodkontrolou.cz/map/tree/d5a9feae-08b7-4a08-a26f-b01f4eb3f1d0/1bd07742-6ef7-4de5-9feb-bdea467ab040</v>
      </c>
      <c r="O445" s="3" t="str">
        <f>HYPERLINK("https://www.mapy.cz?st=search&amp;fr=49.65077941 18.63841231")</f>
        <v>https://www.mapy.cz?st=search&amp;fr=49.65077941 18.63841231</v>
      </c>
    </row>
    <row r="446" spans="1:15" ht="36">
      <c r="A446" s="16">
        <v>343</v>
      </c>
      <c r="B446" s="13" t="s">
        <v>522</v>
      </c>
      <c r="C446" s="13" t="s">
        <v>523</v>
      </c>
      <c r="D446" s="14">
        <v>972</v>
      </c>
      <c r="E446" s="15" t="s">
        <v>115</v>
      </c>
      <c r="F446" s="13" t="s">
        <v>116</v>
      </c>
      <c r="G446" s="14" t="s">
        <v>22</v>
      </c>
      <c r="H446" s="14" t="s">
        <v>19</v>
      </c>
      <c r="I446" s="14" t="s">
        <v>22</v>
      </c>
      <c r="J446" s="13"/>
      <c r="K446" s="3" t="s">
        <v>430</v>
      </c>
      <c r="L446" s="7" t="s">
        <v>431</v>
      </c>
      <c r="M446" s="19"/>
      <c r="N446" s="13" t="str">
        <f>HYPERLINK("https://www.stromypodkontrolou.cz/map/tree/d5a9feae-08b7-4a08-a26f-b01f4eb3f1d0/69f74e27-2903-417f-aaa6-0ceb2afde8b4")</f>
        <v>https://www.stromypodkontrolou.cz/map/tree/d5a9feae-08b7-4a08-a26f-b01f4eb3f1d0/69f74e27-2903-417f-aaa6-0ceb2afde8b4</v>
      </c>
      <c r="O446" s="13" t="str">
        <f>HYPERLINK("https://www.mapy.cz?st=search&amp;fr=49.65072558 18.63843612")</f>
        <v>https://www.mapy.cz?st=search&amp;fr=49.65072558 18.63843612</v>
      </c>
    </row>
    <row r="447" spans="1:15" ht="12.75">
      <c r="A447" s="16"/>
      <c r="B447" s="13"/>
      <c r="C447" s="13"/>
      <c r="D447" s="14"/>
      <c r="E447" s="15"/>
      <c r="F447" s="13"/>
      <c r="G447" s="14"/>
      <c r="H447" s="14"/>
      <c r="I447" s="14"/>
      <c r="J447" s="13"/>
      <c r="K447" s="3" t="s">
        <v>23</v>
      </c>
      <c r="L447" s="7" t="s">
        <v>125</v>
      </c>
      <c r="M447" s="19"/>
      <c r="N447" s="13"/>
      <c r="O447" s="13"/>
    </row>
    <row r="448" spans="1:15" ht="36">
      <c r="A448" s="16">
        <v>344</v>
      </c>
      <c r="B448" s="13" t="s">
        <v>522</v>
      </c>
      <c r="C448" s="13" t="s">
        <v>523</v>
      </c>
      <c r="D448" s="14">
        <v>973</v>
      </c>
      <c r="E448" s="15" t="s">
        <v>115</v>
      </c>
      <c r="F448" s="13" t="s">
        <v>116</v>
      </c>
      <c r="G448" s="14" t="s">
        <v>22</v>
      </c>
      <c r="H448" s="14" t="s">
        <v>19</v>
      </c>
      <c r="I448" s="14" t="s">
        <v>22</v>
      </c>
      <c r="J448" s="13" t="s">
        <v>524</v>
      </c>
      <c r="K448" s="3" t="s">
        <v>430</v>
      </c>
      <c r="L448" s="7" t="s">
        <v>431</v>
      </c>
      <c r="M448" s="19"/>
      <c r="N448" s="13" t="str">
        <f>HYPERLINK("https://www.stromypodkontrolou.cz/map/tree/d5a9feae-08b7-4a08-a26f-b01f4eb3f1d0/7f5f9a3e-bfb4-40a6-9039-9515dbad5ae1")</f>
        <v>https://www.stromypodkontrolou.cz/map/tree/d5a9feae-08b7-4a08-a26f-b01f4eb3f1d0/7f5f9a3e-bfb4-40a6-9039-9515dbad5ae1</v>
      </c>
      <c r="O448" s="13" t="str">
        <f>HYPERLINK("https://www.mapy.cz?st=search&amp;fr=49.65068108 18.63845590")</f>
        <v>https://www.mapy.cz?st=search&amp;fr=49.65068108 18.63845590</v>
      </c>
    </row>
    <row r="449" spans="1:15" ht="12.75">
      <c r="A449" s="16"/>
      <c r="B449" s="13"/>
      <c r="C449" s="13"/>
      <c r="D449" s="14"/>
      <c r="E449" s="15"/>
      <c r="F449" s="13"/>
      <c r="G449" s="14"/>
      <c r="H449" s="14"/>
      <c r="I449" s="14"/>
      <c r="J449" s="13"/>
      <c r="K449" s="3" t="s">
        <v>23</v>
      </c>
      <c r="L449" s="7" t="s">
        <v>125</v>
      </c>
      <c r="M449" s="19"/>
      <c r="N449" s="13"/>
      <c r="O449" s="13"/>
    </row>
    <row r="450" spans="1:15" ht="120">
      <c r="A450" s="10">
        <v>345</v>
      </c>
      <c r="B450" s="3" t="s">
        <v>522</v>
      </c>
      <c r="C450" s="3" t="s">
        <v>523</v>
      </c>
      <c r="D450" s="7">
        <v>974</v>
      </c>
      <c r="E450" s="5" t="s">
        <v>437</v>
      </c>
      <c r="F450" s="3" t="s">
        <v>438</v>
      </c>
      <c r="G450" s="7" t="s">
        <v>22</v>
      </c>
      <c r="H450" s="7" t="s">
        <v>19</v>
      </c>
      <c r="I450" s="7" t="s">
        <v>22</v>
      </c>
      <c r="J450" s="3"/>
      <c r="K450" s="3" t="s">
        <v>23</v>
      </c>
      <c r="L450" s="7" t="s">
        <v>125</v>
      </c>
      <c r="M450" s="19"/>
      <c r="N450" s="3" t="str">
        <f>HYPERLINK("https://www.stromypodkontrolou.cz/map/tree/d5a9feae-08b7-4a08-a26f-b01f4eb3f1d0/3310588e-7d4a-4c88-b7cd-171d47efc830")</f>
        <v>https://www.stromypodkontrolou.cz/map/tree/d5a9feae-08b7-4a08-a26f-b01f4eb3f1d0/3310588e-7d4a-4c88-b7cd-171d47efc830</v>
      </c>
      <c r="O450" s="3" t="str">
        <f>HYPERLINK("https://www.mapy.cz?st=search&amp;fr=49.65063962 18.63847199")</f>
        <v>https://www.mapy.cz?st=search&amp;fr=49.65063962 18.63847199</v>
      </c>
    </row>
    <row r="451" spans="1:15" ht="120">
      <c r="A451" s="10">
        <v>346</v>
      </c>
      <c r="B451" s="3" t="s">
        <v>522</v>
      </c>
      <c r="C451" s="3" t="s">
        <v>523</v>
      </c>
      <c r="D451" s="7">
        <v>975</v>
      </c>
      <c r="E451" s="5" t="s">
        <v>437</v>
      </c>
      <c r="F451" s="3" t="s">
        <v>438</v>
      </c>
      <c r="G451" s="7" t="s">
        <v>22</v>
      </c>
      <c r="H451" s="7" t="s">
        <v>19</v>
      </c>
      <c r="I451" s="7" t="s">
        <v>22</v>
      </c>
      <c r="J451" s="3"/>
      <c r="K451" s="3" t="s">
        <v>23</v>
      </c>
      <c r="L451" s="7" t="s">
        <v>125</v>
      </c>
      <c r="M451" s="19"/>
      <c r="N451" s="3" t="str">
        <f>HYPERLINK("https://www.stromypodkontrolou.cz/map/tree/d5a9feae-08b7-4a08-a26f-b01f4eb3f1d0/f616b490-a4f5-40cf-a6c6-d211a6aee993")</f>
        <v>https://www.stromypodkontrolou.cz/map/tree/d5a9feae-08b7-4a08-a26f-b01f4eb3f1d0/f616b490-a4f5-40cf-a6c6-d211a6aee993</v>
      </c>
      <c r="O451" s="3" t="str">
        <f>HYPERLINK("https://www.mapy.cz?st=search&amp;fr=49.65059490 18.63848976")</f>
        <v>https://www.mapy.cz?st=search&amp;fr=49.65059490 18.63848976</v>
      </c>
    </row>
    <row r="452" spans="1:15" ht="36">
      <c r="A452" s="16">
        <v>347</v>
      </c>
      <c r="B452" s="13" t="s">
        <v>522</v>
      </c>
      <c r="C452" s="13" t="s">
        <v>523</v>
      </c>
      <c r="D452" s="14">
        <v>976</v>
      </c>
      <c r="E452" s="15" t="s">
        <v>437</v>
      </c>
      <c r="F452" s="13" t="s">
        <v>438</v>
      </c>
      <c r="G452" s="14" t="s">
        <v>22</v>
      </c>
      <c r="H452" s="14" t="s">
        <v>19</v>
      </c>
      <c r="I452" s="14" t="s">
        <v>22</v>
      </c>
      <c r="J452" s="13"/>
      <c r="K452" s="3" t="s">
        <v>430</v>
      </c>
      <c r="L452" s="7" t="s">
        <v>431</v>
      </c>
      <c r="M452" s="19"/>
      <c r="N452" s="13" t="str">
        <f>HYPERLINK("https://www.stromypodkontrolou.cz/map/tree/d5a9feae-08b7-4a08-a26f-b01f4eb3f1d0/1bd89963-4c31-4e16-8ecc-dd6a610b92d2")</f>
        <v>https://www.stromypodkontrolou.cz/map/tree/d5a9feae-08b7-4a08-a26f-b01f4eb3f1d0/1bd89963-4c31-4e16-8ecc-dd6a610b92d2</v>
      </c>
      <c r="O452" s="13" t="str">
        <f>HYPERLINK("https://www.mapy.cz?st=search&amp;fr=49.65055865 18.63850317")</f>
        <v>https://www.mapy.cz?st=search&amp;fr=49.65055865 18.63850317</v>
      </c>
    </row>
    <row r="453" spans="1:15" ht="12.75">
      <c r="A453" s="16"/>
      <c r="B453" s="13"/>
      <c r="C453" s="13"/>
      <c r="D453" s="14"/>
      <c r="E453" s="15"/>
      <c r="F453" s="13"/>
      <c r="G453" s="14"/>
      <c r="H453" s="14"/>
      <c r="I453" s="14"/>
      <c r="J453" s="13"/>
      <c r="K453" s="3" t="s">
        <v>23</v>
      </c>
      <c r="L453" s="7" t="s">
        <v>125</v>
      </c>
      <c r="M453" s="19"/>
      <c r="N453" s="13"/>
      <c r="O453" s="13"/>
    </row>
    <row r="454" spans="1:15" ht="120">
      <c r="A454" s="10">
        <v>348</v>
      </c>
      <c r="B454" s="3" t="s">
        <v>525</v>
      </c>
      <c r="C454" s="3" t="s">
        <v>526</v>
      </c>
      <c r="D454" s="7">
        <v>45</v>
      </c>
      <c r="E454" s="5" t="s">
        <v>40</v>
      </c>
      <c r="F454" s="3" t="s">
        <v>41</v>
      </c>
      <c r="G454" s="7" t="s">
        <v>27</v>
      </c>
      <c r="H454" s="7" t="s">
        <v>18</v>
      </c>
      <c r="I454" s="7" t="s">
        <v>21</v>
      </c>
      <c r="J454" s="3"/>
      <c r="K454" s="3" t="s">
        <v>23</v>
      </c>
      <c r="L454" s="7" t="s">
        <v>24</v>
      </c>
      <c r="M454" s="19"/>
      <c r="N454" s="3" t="str">
        <f>HYPERLINK("https://www.stromypodkontrolou.cz/map/tree/d5a9feae-08b7-4a08-a26f-b01f4eb3f1d0/1412acee-4528-42a6-b94a-782987667d40")</f>
        <v>https://www.stromypodkontrolou.cz/map/tree/d5a9feae-08b7-4a08-a26f-b01f4eb3f1d0/1412acee-4528-42a6-b94a-782987667d40</v>
      </c>
      <c r="O454" s="3" t="str">
        <f>HYPERLINK("https://www.mapy.cz?st=search&amp;fr=49.63682898 18.68936826")</f>
        <v>https://www.mapy.cz?st=search&amp;fr=49.63682898 18.68936826</v>
      </c>
    </row>
    <row r="455" spans="1:15" ht="120">
      <c r="A455" s="10">
        <v>349</v>
      </c>
      <c r="B455" s="3" t="s">
        <v>525</v>
      </c>
      <c r="C455" s="3" t="s">
        <v>526</v>
      </c>
      <c r="D455" s="7">
        <v>46</v>
      </c>
      <c r="E455" s="5" t="s">
        <v>40</v>
      </c>
      <c r="F455" s="3" t="s">
        <v>41</v>
      </c>
      <c r="G455" s="7" t="s">
        <v>50</v>
      </c>
      <c r="H455" s="7" t="s">
        <v>18</v>
      </c>
      <c r="I455" s="7" t="s">
        <v>21</v>
      </c>
      <c r="J455" s="3"/>
      <c r="K455" s="3" t="s">
        <v>23</v>
      </c>
      <c r="L455" s="7" t="s">
        <v>24</v>
      </c>
      <c r="M455" s="19"/>
      <c r="N455" s="3" t="str">
        <f>HYPERLINK("https://www.stromypodkontrolou.cz/map/tree/d5a9feae-08b7-4a08-a26f-b01f4eb3f1d0/b84ac3fe-480d-4395-a382-3a8ed84f19ed")</f>
        <v>https://www.stromypodkontrolou.cz/map/tree/d5a9feae-08b7-4a08-a26f-b01f4eb3f1d0/b84ac3fe-480d-4395-a382-3a8ed84f19ed</v>
      </c>
      <c r="O455" s="3" t="str">
        <f>HYPERLINK("https://www.mapy.cz?st=search&amp;fr=49.63675841 18.68953389")</f>
        <v>https://www.mapy.cz?st=search&amp;fr=49.63675841 18.68953389</v>
      </c>
    </row>
    <row r="456" spans="1:15" ht="120">
      <c r="A456" s="10">
        <v>350</v>
      </c>
      <c r="B456" s="3" t="s">
        <v>525</v>
      </c>
      <c r="C456" s="3" t="s">
        <v>526</v>
      </c>
      <c r="D456" s="7">
        <v>47</v>
      </c>
      <c r="E456" s="5" t="s">
        <v>40</v>
      </c>
      <c r="F456" s="3" t="s">
        <v>41</v>
      </c>
      <c r="G456" s="7" t="s">
        <v>50</v>
      </c>
      <c r="H456" s="7" t="s">
        <v>18</v>
      </c>
      <c r="I456" s="7" t="s">
        <v>21</v>
      </c>
      <c r="J456" s="3"/>
      <c r="K456" s="3" t="s">
        <v>23</v>
      </c>
      <c r="L456" s="7" t="s">
        <v>24</v>
      </c>
      <c r="M456" s="19"/>
      <c r="N456" s="3" t="str">
        <f>HYPERLINK("https://www.stromypodkontrolou.cz/map/tree/d5a9feae-08b7-4a08-a26f-b01f4eb3f1d0/c9597087-87a7-4183-9f4c-26c25b646ed4")</f>
        <v>https://www.stromypodkontrolou.cz/map/tree/d5a9feae-08b7-4a08-a26f-b01f4eb3f1d0/c9597087-87a7-4183-9f4c-26c25b646ed4</v>
      </c>
      <c r="O456" s="3" t="str">
        <f>HYPERLINK("https://www.mapy.cz?st=search&amp;fr=49.63670000 18.68918554")</f>
        <v>https://www.mapy.cz?st=search&amp;fr=49.63670000 18.68918554</v>
      </c>
    </row>
    <row r="457" spans="1:15" ht="120">
      <c r="A457" s="10">
        <v>351</v>
      </c>
      <c r="B457" s="3" t="s">
        <v>525</v>
      </c>
      <c r="C457" s="3" t="s">
        <v>526</v>
      </c>
      <c r="D457" s="7">
        <v>48</v>
      </c>
      <c r="E457" s="5" t="s">
        <v>76</v>
      </c>
      <c r="F457" s="3" t="s">
        <v>77</v>
      </c>
      <c r="G457" s="7" t="s">
        <v>50</v>
      </c>
      <c r="H457" s="7" t="s">
        <v>26</v>
      </c>
      <c r="I457" s="7" t="s">
        <v>21</v>
      </c>
      <c r="J457" s="3"/>
      <c r="K457" s="3" t="s">
        <v>23</v>
      </c>
      <c r="L457" s="7" t="s">
        <v>24</v>
      </c>
      <c r="M457" s="19"/>
      <c r="N457" s="3" t="str">
        <f>HYPERLINK("https://www.stromypodkontrolou.cz/map/tree/d5a9feae-08b7-4a08-a26f-b01f4eb3f1d0/d34f8771-1064-4732-b64f-439d838b223b")</f>
        <v>https://www.stromypodkontrolou.cz/map/tree/d5a9feae-08b7-4a08-a26f-b01f4eb3f1d0/d34f8771-1064-4732-b64f-439d838b223b</v>
      </c>
      <c r="O457" s="3" t="str">
        <f>HYPERLINK("https://www.mapy.cz?st=search&amp;fr=49.63660033 18.68909535")</f>
        <v>https://www.mapy.cz?st=search&amp;fr=49.63660033 18.68909535</v>
      </c>
    </row>
    <row r="458" spans="1:15" ht="120">
      <c r="A458" s="10">
        <v>352</v>
      </c>
      <c r="B458" s="3" t="s">
        <v>527</v>
      </c>
      <c r="C458" s="3" t="s">
        <v>528</v>
      </c>
      <c r="D458" s="7">
        <v>241</v>
      </c>
      <c r="E458" s="5" t="s">
        <v>155</v>
      </c>
      <c r="F458" s="3" t="s">
        <v>156</v>
      </c>
      <c r="G458" s="7" t="s">
        <v>99</v>
      </c>
      <c r="H458" s="7" t="s">
        <v>117</v>
      </c>
      <c r="I458" s="7" t="s">
        <v>21</v>
      </c>
      <c r="J458" s="3" t="s">
        <v>529</v>
      </c>
      <c r="K458" s="3" t="s">
        <v>23</v>
      </c>
      <c r="L458" s="7" t="s">
        <v>118</v>
      </c>
      <c r="M458" s="19"/>
      <c r="N458" s="3" t="str">
        <f>HYPERLINK("https://www.stromypodkontrolou.cz/map/tree/d871b8e0-e835-4674-8a5e-2a5c9e606b0b/6bbd5208-3f36-4ce2-aade-2133e41a58af")</f>
        <v>https://www.stromypodkontrolou.cz/map/tree/d871b8e0-e835-4674-8a5e-2a5c9e606b0b/6bbd5208-3f36-4ce2-aade-2133e41a58af</v>
      </c>
      <c r="O458" s="3" t="str">
        <f>HYPERLINK("https://www.mapy.cz?st=search&amp;fr=49.68365303 18.67647010")</f>
        <v>https://www.mapy.cz?st=search&amp;fr=49.68365303 18.67647010</v>
      </c>
    </row>
    <row r="459" spans="1:15" ht="120">
      <c r="A459" s="10">
        <v>353</v>
      </c>
      <c r="B459" s="3" t="s">
        <v>527</v>
      </c>
      <c r="C459" s="3" t="s">
        <v>528</v>
      </c>
      <c r="D459" s="7">
        <v>376</v>
      </c>
      <c r="E459" s="5" t="s">
        <v>155</v>
      </c>
      <c r="F459" s="3" t="s">
        <v>156</v>
      </c>
      <c r="G459" s="7" t="s">
        <v>17</v>
      </c>
      <c r="H459" s="7" t="s">
        <v>18</v>
      </c>
      <c r="I459" s="7" t="s">
        <v>21</v>
      </c>
      <c r="J459" s="3"/>
      <c r="K459" s="3" t="s">
        <v>23</v>
      </c>
      <c r="L459" s="7" t="s">
        <v>24</v>
      </c>
      <c r="M459" s="19"/>
      <c r="N459" s="3" t="str">
        <f>HYPERLINK("https://www.stromypodkontrolou.cz/map/tree/d871b8e0-e835-4674-8a5e-2a5c9e606b0b/beb71c3f-aadd-4a84-8efa-eac6cb0cd1af")</f>
        <v>https://www.stromypodkontrolou.cz/map/tree/d871b8e0-e835-4674-8a5e-2a5c9e606b0b/beb71c3f-aadd-4a84-8efa-eac6cb0cd1af</v>
      </c>
      <c r="O459" s="3" t="str">
        <f>HYPERLINK("https://www.mapy.cz?st=search&amp;fr=49.68329378 18.67787927")</f>
        <v>https://www.mapy.cz?st=search&amp;fr=49.68329378 18.67787927</v>
      </c>
    </row>
    <row r="460" spans="1:15" ht="120">
      <c r="A460" s="10">
        <v>354</v>
      </c>
      <c r="B460" s="3" t="s">
        <v>527</v>
      </c>
      <c r="C460" s="3" t="s">
        <v>528</v>
      </c>
      <c r="D460" s="7">
        <v>377</v>
      </c>
      <c r="E460" s="5" t="s">
        <v>136</v>
      </c>
      <c r="F460" s="3" t="s">
        <v>137</v>
      </c>
      <c r="G460" s="7" t="s">
        <v>65</v>
      </c>
      <c r="H460" s="7" t="s">
        <v>117</v>
      </c>
      <c r="I460" s="7" t="s">
        <v>21</v>
      </c>
      <c r="J460" s="3"/>
      <c r="K460" s="3" t="s">
        <v>23</v>
      </c>
      <c r="L460" s="7" t="s">
        <v>118</v>
      </c>
      <c r="M460" s="19"/>
      <c r="N460" s="3" t="str">
        <f>HYPERLINK("https://www.stromypodkontrolou.cz/map/tree/d871b8e0-e835-4674-8a5e-2a5c9e606b0b/7a85e4be-9852-4307-8522-ca127db9d71e")</f>
        <v>https://www.stromypodkontrolou.cz/map/tree/d871b8e0-e835-4674-8a5e-2a5c9e606b0b/7a85e4be-9852-4307-8522-ca127db9d71e</v>
      </c>
      <c r="O460" s="3" t="str">
        <f>HYPERLINK("https://www.mapy.cz?st=search&amp;fr=49.68235155 18.67500994")</f>
        <v>https://www.mapy.cz?st=search&amp;fr=49.68235155 18.67500994</v>
      </c>
    </row>
    <row r="461" spans="1:15" ht="120">
      <c r="A461" s="10">
        <v>355</v>
      </c>
      <c r="B461" s="3" t="s">
        <v>527</v>
      </c>
      <c r="C461" s="3" t="s">
        <v>528</v>
      </c>
      <c r="D461" s="7">
        <v>379</v>
      </c>
      <c r="E461" s="5" t="s">
        <v>175</v>
      </c>
      <c r="F461" s="3" t="s">
        <v>176</v>
      </c>
      <c r="G461" s="7" t="s">
        <v>65</v>
      </c>
      <c r="H461" s="7" t="s">
        <v>213</v>
      </c>
      <c r="I461" s="7" t="s">
        <v>20</v>
      </c>
      <c r="J461" s="3"/>
      <c r="K461" s="3" t="s">
        <v>23</v>
      </c>
      <c r="L461" s="7" t="s">
        <v>118</v>
      </c>
      <c r="M461" s="19"/>
      <c r="N461" s="3" t="str">
        <f>HYPERLINK("https://www.stromypodkontrolou.cz/map/tree/d871b8e0-e835-4674-8a5e-2a5c9e606b0b/3037d762-30c7-4e53-92ac-64addb60b45a")</f>
        <v>https://www.stromypodkontrolou.cz/map/tree/d871b8e0-e835-4674-8a5e-2a5c9e606b0b/3037d762-30c7-4e53-92ac-64addb60b45a</v>
      </c>
      <c r="O461" s="3" t="str">
        <f>HYPERLINK("https://www.mapy.cz?st=search&amp;fr=49.68185881 18.67546324")</f>
        <v>https://www.mapy.cz?st=search&amp;fr=49.68185881 18.67546324</v>
      </c>
    </row>
    <row r="462" spans="1:15" ht="120">
      <c r="A462" s="10">
        <v>356</v>
      </c>
      <c r="B462" s="3" t="s">
        <v>527</v>
      </c>
      <c r="C462" s="3" t="s">
        <v>528</v>
      </c>
      <c r="D462" s="7">
        <v>383</v>
      </c>
      <c r="E462" s="5" t="s">
        <v>136</v>
      </c>
      <c r="F462" s="3" t="s">
        <v>137</v>
      </c>
      <c r="G462" s="7" t="s">
        <v>99</v>
      </c>
      <c r="H462" s="7" t="s">
        <v>213</v>
      </c>
      <c r="I462" s="7" t="s">
        <v>21</v>
      </c>
      <c r="J462" s="3"/>
      <c r="K462" s="3" t="s">
        <v>23</v>
      </c>
      <c r="L462" s="7" t="s">
        <v>118</v>
      </c>
      <c r="M462" s="19"/>
      <c r="N462" s="3" t="str">
        <f>HYPERLINK("https://www.stromypodkontrolou.cz/map/tree/d871b8e0-e835-4674-8a5e-2a5c9e606b0b/602e5025-3fc1-462c-895a-eade2f1af9e9")</f>
        <v>https://www.stromypodkontrolou.cz/map/tree/d871b8e0-e835-4674-8a5e-2a5c9e606b0b/602e5025-3fc1-462c-895a-eade2f1af9e9</v>
      </c>
      <c r="O462" s="3" t="str">
        <f>HYPERLINK("https://www.mapy.cz?st=search&amp;fr=49.68248383 18.67759351")</f>
        <v>https://www.mapy.cz?st=search&amp;fr=49.68248383 18.67759351</v>
      </c>
    </row>
    <row r="463" spans="1:15" ht="120">
      <c r="A463" s="10">
        <v>357</v>
      </c>
      <c r="B463" s="3" t="s">
        <v>527</v>
      </c>
      <c r="C463" s="3" t="s">
        <v>528</v>
      </c>
      <c r="D463" s="7">
        <v>389</v>
      </c>
      <c r="E463" s="5" t="s">
        <v>155</v>
      </c>
      <c r="F463" s="3" t="s">
        <v>156</v>
      </c>
      <c r="G463" s="7" t="s">
        <v>27</v>
      </c>
      <c r="H463" s="7" t="s">
        <v>26</v>
      </c>
      <c r="I463" s="7" t="s">
        <v>22</v>
      </c>
      <c r="J463" s="3"/>
      <c r="K463" s="3" t="s">
        <v>23</v>
      </c>
      <c r="L463" s="7" t="s">
        <v>24</v>
      </c>
      <c r="M463" s="19"/>
      <c r="N463" s="3" t="str">
        <f>HYPERLINK("https://www.stromypodkontrolou.cz/map/tree/d871b8e0-e835-4674-8a5e-2a5c9e606b0b/a2e75c80-61f9-4a33-9477-4683e6e94717")</f>
        <v>https://www.stromypodkontrolou.cz/map/tree/d871b8e0-e835-4674-8a5e-2a5c9e606b0b/a2e75c80-61f9-4a33-9477-4683e6e94717</v>
      </c>
      <c r="O463" s="3" t="str">
        <f>HYPERLINK("https://www.mapy.cz?st=search&amp;fr=49.68343159 18.67737775")</f>
        <v>https://www.mapy.cz?st=search&amp;fr=49.68343159 18.67737775</v>
      </c>
    </row>
    <row r="464" spans="1:15" ht="120">
      <c r="A464" s="10">
        <v>358</v>
      </c>
      <c r="B464" s="3" t="s">
        <v>527</v>
      </c>
      <c r="C464" s="3" t="s">
        <v>528</v>
      </c>
      <c r="D464" s="7">
        <v>390</v>
      </c>
      <c r="E464" s="5" t="s">
        <v>155</v>
      </c>
      <c r="F464" s="3" t="s">
        <v>156</v>
      </c>
      <c r="G464" s="7" t="s">
        <v>50</v>
      </c>
      <c r="H464" s="7" t="s">
        <v>58</v>
      </c>
      <c r="I464" s="7" t="s">
        <v>22</v>
      </c>
      <c r="J464" s="3"/>
      <c r="K464" s="3" t="s">
        <v>23</v>
      </c>
      <c r="L464" s="7" t="s">
        <v>125</v>
      </c>
      <c r="M464" s="19"/>
      <c r="N464" s="3" t="str">
        <f>HYPERLINK("https://www.stromypodkontrolou.cz/map/tree/d871b8e0-e835-4674-8a5e-2a5c9e606b0b/9f14fd7e-f1a6-4ff4-b276-f9d9215bde75")</f>
        <v>https://www.stromypodkontrolou.cz/map/tree/d871b8e0-e835-4674-8a5e-2a5c9e606b0b/9f14fd7e-f1a6-4ff4-b276-f9d9215bde75</v>
      </c>
      <c r="O464" s="3" t="str">
        <f>HYPERLINK("https://www.mapy.cz?st=search&amp;fr=49.68355743 18.67686850")</f>
        <v>https://www.mapy.cz?st=search&amp;fr=49.68355743 18.67686850</v>
      </c>
    </row>
    <row r="465" spans="1:15" ht="120">
      <c r="A465" s="10">
        <v>359</v>
      </c>
      <c r="B465" s="3" t="s">
        <v>527</v>
      </c>
      <c r="C465" s="3" t="s">
        <v>528</v>
      </c>
      <c r="D465" s="7">
        <v>391</v>
      </c>
      <c r="E465" s="5" t="s">
        <v>175</v>
      </c>
      <c r="F465" s="3" t="s">
        <v>176</v>
      </c>
      <c r="G465" s="7" t="s">
        <v>27</v>
      </c>
      <c r="H465" s="7" t="s">
        <v>18</v>
      </c>
      <c r="I465" s="7" t="s">
        <v>22</v>
      </c>
      <c r="J465" s="3" t="s">
        <v>530</v>
      </c>
      <c r="K465" s="3" t="s">
        <v>23</v>
      </c>
      <c r="L465" s="7" t="s">
        <v>24</v>
      </c>
      <c r="M465" s="19"/>
      <c r="N465" s="3" t="str">
        <f>HYPERLINK("https://www.stromypodkontrolou.cz/map/tree/d871b8e0-e835-4674-8a5e-2a5c9e606b0b/e439b5c0-588a-4c7e-b417-4e3b4f0d724e")</f>
        <v>https://www.stromypodkontrolou.cz/map/tree/d871b8e0-e835-4674-8a5e-2a5c9e606b0b/e439b5c0-588a-4c7e-b417-4e3b4f0d724e</v>
      </c>
      <c r="O465" s="3" t="str">
        <f>HYPERLINK("https://www.mapy.cz?st=search&amp;fr=49.68196430 18.67521290")</f>
        <v>https://www.mapy.cz?st=search&amp;fr=49.68196430 18.67521290</v>
      </c>
    </row>
    <row r="466" spans="1:15" ht="120">
      <c r="A466" s="10">
        <v>360</v>
      </c>
      <c r="B466" s="3" t="s">
        <v>527</v>
      </c>
      <c r="C466" s="3" t="s">
        <v>528</v>
      </c>
      <c r="D466" s="7">
        <v>392</v>
      </c>
      <c r="E466" s="5" t="s">
        <v>175</v>
      </c>
      <c r="F466" s="3" t="s">
        <v>176</v>
      </c>
      <c r="G466" s="7" t="s">
        <v>50</v>
      </c>
      <c r="H466" s="7" t="s">
        <v>18</v>
      </c>
      <c r="I466" s="7" t="s">
        <v>22</v>
      </c>
      <c r="J466" s="3"/>
      <c r="K466" s="3" t="s">
        <v>23</v>
      </c>
      <c r="L466" s="7" t="s">
        <v>24</v>
      </c>
      <c r="M466" s="19"/>
      <c r="N466" s="3" t="str">
        <f>HYPERLINK("https://www.stromypodkontrolou.cz/map/tree/d871b8e0-e835-4674-8a5e-2a5c9e606b0b/fe04614c-d425-44b1-a996-c2a7f9ff4abf")</f>
        <v>https://www.stromypodkontrolou.cz/map/tree/d871b8e0-e835-4674-8a5e-2a5c9e606b0b/fe04614c-d425-44b1-a996-c2a7f9ff4abf</v>
      </c>
      <c r="O466" s="3" t="str">
        <f>HYPERLINK("https://www.mapy.cz?st=search&amp;fr=49.68192959 18.67530007")</f>
        <v>https://www.mapy.cz?st=search&amp;fr=49.68192959 18.67530007</v>
      </c>
    </row>
    <row r="467" spans="1:15" ht="120">
      <c r="A467" s="10">
        <v>361</v>
      </c>
      <c r="B467" s="3" t="s">
        <v>527</v>
      </c>
      <c r="C467" s="3" t="s">
        <v>528</v>
      </c>
      <c r="D467" s="7">
        <v>393</v>
      </c>
      <c r="E467" s="5" t="s">
        <v>175</v>
      </c>
      <c r="F467" s="3" t="s">
        <v>176</v>
      </c>
      <c r="G467" s="7" t="s">
        <v>50</v>
      </c>
      <c r="H467" s="7" t="s">
        <v>18</v>
      </c>
      <c r="I467" s="7" t="s">
        <v>22</v>
      </c>
      <c r="J467" s="3"/>
      <c r="K467" s="3" t="s">
        <v>23</v>
      </c>
      <c r="L467" s="7" t="s">
        <v>24</v>
      </c>
      <c r="M467" s="19"/>
      <c r="N467" s="3" t="str">
        <f>HYPERLINK("https://www.stromypodkontrolou.cz/map/tree/d871b8e0-e835-4674-8a5e-2a5c9e606b0b/c984da85-883c-4f6e-ba1a-5a1548380d7e")</f>
        <v>https://www.stromypodkontrolou.cz/map/tree/d871b8e0-e835-4674-8a5e-2a5c9e606b0b/c984da85-883c-4f6e-ba1a-5a1548380d7e</v>
      </c>
      <c r="O467" s="3" t="str">
        <f>HYPERLINK("https://www.mapy.cz?st=search&amp;fr=49.68189466 18.67538188")</f>
        <v>https://www.mapy.cz?st=search&amp;fr=49.68189466 18.67538188</v>
      </c>
    </row>
    <row r="468" spans="1:15" ht="120">
      <c r="A468" s="10">
        <v>362</v>
      </c>
      <c r="B468" s="3" t="s">
        <v>531</v>
      </c>
      <c r="C468" s="3" t="s">
        <v>532</v>
      </c>
      <c r="D468" s="7">
        <v>41</v>
      </c>
      <c r="E468" s="5" t="s">
        <v>76</v>
      </c>
      <c r="F468" s="3" t="s">
        <v>77</v>
      </c>
      <c r="G468" s="7" t="s">
        <v>78</v>
      </c>
      <c r="H468" s="7" t="s">
        <v>361</v>
      </c>
      <c r="I468" s="7" t="s">
        <v>17</v>
      </c>
      <c r="J468" s="3" t="s">
        <v>533</v>
      </c>
      <c r="K468" s="3" t="s">
        <v>38</v>
      </c>
      <c r="L468" s="7" t="s">
        <v>449</v>
      </c>
      <c r="M468" s="19"/>
      <c r="N468" s="3" t="str">
        <f>HYPERLINK("https://www.stromypodkontrolou.cz/map/tree/d871b8e0-e835-4674-8a5e-2a5c9e606b0b/808b2019-81ed-44ba-9bf0-5416701f16c3")</f>
        <v>https://www.stromypodkontrolou.cz/map/tree/d871b8e0-e835-4674-8a5e-2a5c9e606b0b/808b2019-81ed-44ba-9bf0-5416701f16c3</v>
      </c>
      <c r="O468" s="3" t="str">
        <f>HYPERLINK("https://www.mapy.cz?st=search&amp;fr=49.66262652 18.59974466")</f>
        <v>https://www.mapy.cz?st=search&amp;fr=49.66262652 18.59974466</v>
      </c>
    </row>
    <row r="469" spans="1:15" ht="120">
      <c r="A469" s="10">
        <v>363</v>
      </c>
      <c r="B469" s="3" t="s">
        <v>531</v>
      </c>
      <c r="C469" s="3" t="s">
        <v>532</v>
      </c>
      <c r="D469" s="7">
        <v>48</v>
      </c>
      <c r="E469" s="5" t="s">
        <v>115</v>
      </c>
      <c r="F469" s="3" t="s">
        <v>116</v>
      </c>
      <c r="G469" s="7" t="s">
        <v>27</v>
      </c>
      <c r="H469" s="7" t="s">
        <v>26</v>
      </c>
      <c r="I469" s="7" t="s">
        <v>22</v>
      </c>
      <c r="J469" s="3" t="s">
        <v>534</v>
      </c>
      <c r="K469" s="3" t="s">
        <v>23</v>
      </c>
      <c r="L469" s="7" t="s">
        <v>24</v>
      </c>
      <c r="M469" s="19"/>
      <c r="N469" s="3" t="str">
        <f>HYPERLINK("https://www.stromypodkontrolou.cz/map/tree/d871b8e0-e835-4674-8a5e-2a5c9e606b0b/7a14e9b9-4a36-40d7-8d45-68c4c2e02372")</f>
        <v>https://www.stromypodkontrolou.cz/map/tree/d871b8e0-e835-4674-8a5e-2a5c9e606b0b/7a14e9b9-4a36-40d7-8d45-68c4c2e02372</v>
      </c>
      <c r="O469" s="3" t="str">
        <f>HYPERLINK("https://www.mapy.cz?st=search&amp;fr=49.66248388 18.59970369")</f>
        <v>https://www.mapy.cz?st=search&amp;fr=49.66248388 18.59970369</v>
      </c>
    </row>
    <row r="470" spans="1:15" ht="120">
      <c r="A470" s="10">
        <v>364</v>
      </c>
      <c r="B470" s="3" t="s">
        <v>531</v>
      </c>
      <c r="C470" s="3" t="s">
        <v>532</v>
      </c>
      <c r="D470" s="7">
        <v>49</v>
      </c>
      <c r="E470" s="5" t="s">
        <v>123</v>
      </c>
      <c r="F470" s="3" t="s">
        <v>124</v>
      </c>
      <c r="G470" s="7" t="s">
        <v>27</v>
      </c>
      <c r="H470" s="7" t="s">
        <v>26</v>
      </c>
      <c r="I470" s="7" t="s">
        <v>22</v>
      </c>
      <c r="J470" s="3"/>
      <c r="K470" s="3" t="s">
        <v>23</v>
      </c>
      <c r="L470" s="7" t="s">
        <v>24</v>
      </c>
      <c r="M470" s="19"/>
      <c r="N470" s="3" t="str">
        <f>HYPERLINK("https://www.stromypodkontrolou.cz/map/tree/d871b8e0-e835-4674-8a5e-2a5c9e606b0b/264f0cc8-11cd-440b-8b4a-7dd8ba3f9cde")</f>
        <v>https://www.stromypodkontrolou.cz/map/tree/d871b8e0-e835-4674-8a5e-2a5c9e606b0b/264f0cc8-11cd-440b-8b4a-7dd8ba3f9cde</v>
      </c>
      <c r="O470" s="3" t="str">
        <f>HYPERLINK("https://www.mapy.cz?st=search&amp;fr=49.66260237 18.59973219")</f>
        <v>https://www.mapy.cz?st=search&amp;fr=49.66260237 18.59973219</v>
      </c>
    </row>
    <row r="471" spans="1:15" ht="120">
      <c r="A471" s="10">
        <v>365</v>
      </c>
      <c r="B471" s="3" t="s">
        <v>531</v>
      </c>
      <c r="C471" s="3" t="s">
        <v>532</v>
      </c>
      <c r="D471" s="7">
        <v>50</v>
      </c>
      <c r="E471" s="5" t="s">
        <v>123</v>
      </c>
      <c r="F471" s="3" t="s">
        <v>124</v>
      </c>
      <c r="G471" s="7" t="s">
        <v>50</v>
      </c>
      <c r="H471" s="7" t="s">
        <v>26</v>
      </c>
      <c r="I471" s="7" t="s">
        <v>21</v>
      </c>
      <c r="J471" s="3"/>
      <c r="K471" s="3" t="s">
        <v>23</v>
      </c>
      <c r="L471" s="7" t="s">
        <v>24</v>
      </c>
      <c r="M471" s="19"/>
      <c r="N471" s="3" t="str">
        <f>HYPERLINK("https://www.stromypodkontrolou.cz/map/tree/d871b8e0-e835-4674-8a5e-2a5c9e606b0b/2501fbe1-6293-485d-915c-40baefed29cf")</f>
        <v>https://www.stromypodkontrolou.cz/map/tree/d871b8e0-e835-4674-8a5e-2a5c9e606b0b/2501fbe1-6293-485d-915c-40baefed29cf</v>
      </c>
      <c r="O471" s="3" t="str">
        <f>HYPERLINK("https://www.mapy.cz?st=search&amp;fr=49.66266531 18.59976035")</f>
        <v>https://www.mapy.cz?st=search&amp;fr=49.66266531 18.59976035</v>
      </c>
    </row>
    <row r="472" spans="1:15" ht="120">
      <c r="A472" s="10">
        <v>366</v>
      </c>
      <c r="B472" s="3" t="s">
        <v>531</v>
      </c>
      <c r="C472" s="3" t="s">
        <v>532</v>
      </c>
      <c r="D472" s="7">
        <v>51</v>
      </c>
      <c r="E472" s="5" t="s">
        <v>123</v>
      </c>
      <c r="F472" s="3" t="s">
        <v>124</v>
      </c>
      <c r="G472" s="7" t="s">
        <v>50</v>
      </c>
      <c r="H472" s="7" t="s">
        <v>26</v>
      </c>
      <c r="I472" s="7" t="s">
        <v>22</v>
      </c>
      <c r="J472" s="3"/>
      <c r="K472" s="3" t="s">
        <v>23</v>
      </c>
      <c r="L472" s="7" t="s">
        <v>24</v>
      </c>
      <c r="M472" s="19"/>
      <c r="N472" s="3" t="str">
        <f>HYPERLINK("https://www.stromypodkontrolou.cz/map/tree/d871b8e0-e835-4674-8a5e-2a5c9e606b0b/f7c3f859-095c-4363-aa9d-c524627afc14")</f>
        <v>https://www.stromypodkontrolou.cz/map/tree/d871b8e0-e835-4674-8a5e-2a5c9e606b0b/f7c3f859-095c-4363-aa9d-c524627afc14</v>
      </c>
      <c r="O472" s="3" t="str">
        <f>HYPERLINK("https://www.mapy.cz?st=search&amp;fr=49.66271153 18.59977846")</f>
        <v>https://www.mapy.cz?st=search&amp;fr=49.66271153 18.59977846</v>
      </c>
    </row>
    <row r="473" spans="1:15" ht="120">
      <c r="A473" s="10">
        <v>367</v>
      </c>
      <c r="B473" s="3" t="s">
        <v>531</v>
      </c>
      <c r="C473" s="3" t="s">
        <v>532</v>
      </c>
      <c r="D473" s="7">
        <v>52</v>
      </c>
      <c r="E473" s="5" t="s">
        <v>123</v>
      </c>
      <c r="F473" s="3" t="s">
        <v>124</v>
      </c>
      <c r="G473" s="7" t="s">
        <v>50</v>
      </c>
      <c r="H473" s="7" t="s">
        <v>26</v>
      </c>
      <c r="I473" s="7" t="s">
        <v>22</v>
      </c>
      <c r="J473" s="3"/>
      <c r="K473" s="3" t="s">
        <v>23</v>
      </c>
      <c r="L473" s="7" t="s">
        <v>24</v>
      </c>
      <c r="M473" s="19"/>
      <c r="N473" s="3" t="str">
        <f>HYPERLINK("https://www.stromypodkontrolou.cz/map/tree/d871b8e0-e835-4674-8a5e-2a5c9e606b0b/bd00b247-95a4-4706-9f56-44434453c980")</f>
        <v>https://www.stromypodkontrolou.cz/map/tree/d871b8e0-e835-4674-8a5e-2a5c9e606b0b/bd00b247-95a4-4706-9f56-44434453c980</v>
      </c>
      <c r="O473" s="3" t="str">
        <f>HYPERLINK("https://www.mapy.cz?st=search&amp;fr=49.66287234 18.59984685")</f>
        <v>https://www.mapy.cz?st=search&amp;fr=49.66287234 18.59984685</v>
      </c>
    </row>
    <row r="474" spans="1:15" ht="120">
      <c r="A474" s="10">
        <v>368</v>
      </c>
      <c r="B474" s="3" t="s">
        <v>527</v>
      </c>
      <c r="C474" s="3" t="s">
        <v>535</v>
      </c>
      <c r="D474" s="7">
        <v>60</v>
      </c>
      <c r="E474" s="5" t="s">
        <v>536</v>
      </c>
      <c r="F474" s="3" t="s">
        <v>537</v>
      </c>
      <c r="G474" s="7" t="s">
        <v>359</v>
      </c>
      <c r="H474" s="7" t="s">
        <v>58</v>
      </c>
      <c r="I474" s="7" t="s">
        <v>20</v>
      </c>
      <c r="J474" s="3" t="s">
        <v>538</v>
      </c>
      <c r="K474" s="3" t="s">
        <v>36</v>
      </c>
      <c r="L474" s="7" t="s">
        <v>496</v>
      </c>
      <c r="M474" s="19"/>
      <c r="N474" s="3" t="str">
        <f>HYPERLINK("https://www.stromypodkontrolou.cz/map/tree/d871b8e0-e835-4674-8a5e-2a5c9e606b0b/05c380c3-71b3-4c75-bb4d-22969cbef5c1")</f>
        <v>https://www.stromypodkontrolou.cz/map/tree/d871b8e0-e835-4674-8a5e-2a5c9e606b0b/05c380c3-71b3-4c75-bb4d-22969cbef5c1</v>
      </c>
      <c r="O474" s="3" t="str">
        <f>HYPERLINK("https://www.mapy.cz?st=search&amp;fr=49.68343822 18.67186609")</f>
        <v>https://www.mapy.cz?st=search&amp;fr=49.68343822 18.67186609</v>
      </c>
    </row>
    <row r="475" spans="1:15" ht="120">
      <c r="A475" s="10">
        <v>369</v>
      </c>
      <c r="B475" s="3" t="s">
        <v>527</v>
      </c>
      <c r="C475" s="3" t="s">
        <v>535</v>
      </c>
      <c r="D475" s="7">
        <v>61</v>
      </c>
      <c r="E475" s="5" t="s">
        <v>536</v>
      </c>
      <c r="F475" s="3" t="s">
        <v>537</v>
      </c>
      <c r="G475" s="7" t="s">
        <v>152</v>
      </c>
      <c r="H475" s="7" t="s">
        <v>26</v>
      </c>
      <c r="I475" s="7" t="s">
        <v>20</v>
      </c>
      <c r="J475" s="3" t="s">
        <v>303</v>
      </c>
      <c r="K475" s="3" t="s">
        <v>36</v>
      </c>
      <c r="L475" s="7" t="s">
        <v>496</v>
      </c>
      <c r="M475" s="19"/>
      <c r="N475" s="3" t="str">
        <f>HYPERLINK("https://www.stromypodkontrolou.cz/map/tree/d871b8e0-e835-4674-8a5e-2a5c9e606b0b/5077d1f2-35e3-47eb-8abb-94653483803b")</f>
        <v>https://www.stromypodkontrolou.cz/map/tree/d871b8e0-e835-4674-8a5e-2a5c9e606b0b/5077d1f2-35e3-47eb-8abb-94653483803b</v>
      </c>
      <c r="O475" s="3" t="str">
        <f>HYPERLINK("https://www.mapy.cz?st=search&amp;fr=49.68344899 18.67179251")</f>
        <v>https://www.mapy.cz?st=search&amp;fr=49.68344899 18.67179251</v>
      </c>
    </row>
    <row r="476" spans="1:15" ht="120">
      <c r="A476" s="10">
        <v>370</v>
      </c>
      <c r="B476" s="3" t="s">
        <v>527</v>
      </c>
      <c r="C476" s="3" t="s">
        <v>535</v>
      </c>
      <c r="D476" s="7">
        <v>62</v>
      </c>
      <c r="E476" s="5" t="s">
        <v>536</v>
      </c>
      <c r="F476" s="3" t="s">
        <v>537</v>
      </c>
      <c r="G476" s="7" t="s">
        <v>80</v>
      </c>
      <c r="H476" s="7" t="s">
        <v>58</v>
      </c>
      <c r="I476" s="7" t="s">
        <v>20</v>
      </c>
      <c r="J476" s="3" t="s">
        <v>538</v>
      </c>
      <c r="K476" s="3" t="s">
        <v>36</v>
      </c>
      <c r="L476" s="7" t="s">
        <v>496</v>
      </c>
      <c r="M476" s="19"/>
      <c r="N476" s="3" t="str">
        <f>HYPERLINK("https://www.stromypodkontrolou.cz/map/tree/d871b8e0-e835-4674-8a5e-2a5c9e606b0b/69bb92fb-a16e-49ea-88da-a2a172e8c370")</f>
        <v>https://www.stromypodkontrolou.cz/map/tree/d871b8e0-e835-4674-8a5e-2a5c9e606b0b/69bb92fb-a16e-49ea-88da-a2a172e8c370</v>
      </c>
      <c r="O476" s="3" t="str">
        <f>HYPERLINK("https://www.mapy.cz?st=search&amp;fr=49.68350997 18.67176415")</f>
        <v>https://www.mapy.cz?st=search&amp;fr=49.68350997 18.67176415</v>
      </c>
    </row>
    <row r="477" spans="1:15" ht="120">
      <c r="A477" s="10">
        <v>371</v>
      </c>
      <c r="B477" s="3" t="s">
        <v>527</v>
      </c>
      <c r="C477" s="3" t="s">
        <v>535</v>
      </c>
      <c r="D477" s="7">
        <v>63</v>
      </c>
      <c r="E477" s="5" t="s">
        <v>536</v>
      </c>
      <c r="F477" s="3" t="s">
        <v>537</v>
      </c>
      <c r="G477" s="7" t="s">
        <v>135</v>
      </c>
      <c r="H477" s="7" t="s">
        <v>58</v>
      </c>
      <c r="I477" s="7" t="s">
        <v>20</v>
      </c>
      <c r="J477" s="3" t="s">
        <v>538</v>
      </c>
      <c r="K477" s="3" t="s">
        <v>36</v>
      </c>
      <c r="L477" s="7" t="s">
        <v>496</v>
      </c>
      <c r="M477" s="19"/>
      <c r="N477" s="3" t="str">
        <f>HYPERLINK("https://www.stromypodkontrolou.cz/map/tree/d871b8e0-e835-4674-8a5e-2a5c9e606b0b/edca8dc0-d71c-4488-82bd-98fe096b3a1c")</f>
        <v>https://www.stromypodkontrolou.cz/map/tree/d871b8e0-e835-4674-8a5e-2a5c9e606b0b/edca8dc0-d71c-4488-82bd-98fe096b3a1c</v>
      </c>
      <c r="O477" s="3" t="str">
        <f>HYPERLINK("https://www.mapy.cz?st=search&amp;fr=49.68349555 18.67172512")</f>
        <v>https://www.mapy.cz?st=search&amp;fr=49.68349555 18.67172512</v>
      </c>
    </row>
    <row r="478" spans="1:15" ht="120">
      <c r="A478" s="10">
        <v>372</v>
      </c>
      <c r="B478" s="3" t="s">
        <v>527</v>
      </c>
      <c r="C478" s="3" t="s">
        <v>535</v>
      </c>
      <c r="D478" s="7">
        <v>64</v>
      </c>
      <c r="E478" s="5" t="s">
        <v>536</v>
      </c>
      <c r="F478" s="3" t="s">
        <v>537</v>
      </c>
      <c r="G478" s="7" t="s">
        <v>152</v>
      </c>
      <c r="H478" s="7" t="s">
        <v>58</v>
      </c>
      <c r="I478" s="7" t="s">
        <v>20</v>
      </c>
      <c r="J478" s="3" t="s">
        <v>303</v>
      </c>
      <c r="K478" s="3" t="s">
        <v>36</v>
      </c>
      <c r="L478" s="7" t="s">
        <v>496</v>
      </c>
      <c r="M478" s="19"/>
      <c r="N478" s="3" t="str">
        <f>HYPERLINK("https://www.stromypodkontrolou.cz/map/tree/d871b8e0-e835-4674-8a5e-2a5c9e606b0b/c97b3a9b-3b80-4808-9b3b-71f1fc9ce618")</f>
        <v>https://www.stromypodkontrolou.cz/map/tree/d871b8e0-e835-4674-8a5e-2a5c9e606b0b/c97b3a9b-3b80-4808-9b3b-71f1fc9ce618</v>
      </c>
      <c r="O478" s="3" t="str">
        <f>HYPERLINK("https://www.mapy.cz?st=search&amp;fr=49.68357878 18.67166986")</f>
        <v>https://www.mapy.cz?st=search&amp;fr=49.68357878 18.67166986</v>
      </c>
    </row>
    <row r="479" spans="1:15" ht="120">
      <c r="A479" s="10">
        <v>373</v>
      </c>
      <c r="B479" s="3" t="s">
        <v>527</v>
      </c>
      <c r="C479" s="3" t="s">
        <v>535</v>
      </c>
      <c r="D479" s="7">
        <v>65</v>
      </c>
      <c r="E479" s="5" t="s">
        <v>29</v>
      </c>
      <c r="F479" s="3" t="s">
        <v>30</v>
      </c>
      <c r="G479" s="7" t="s">
        <v>227</v>
      </c>
      <c r="H479" s="7" t="s">
        <v>132</v>
      </c>
      <c r="I479" s="7" t="s">
        <v>27</v>
      </c>
      <c r="J479" s="3" t="s">
        <v>539</v>
      </c>
      <c r="K479" s="3" t="s">
        <v>38</v>
      </c>
      <c r="L479" s="7" t="s">
        <v>229</v>
      </c>
      <c r="M479" s="19"/>
      <c r="N479" s="3" t="str">
        <f>HYPERLINK("https://www.stromypodkontrolou.cz/map/tree/d871b8e0-e835-4674-8a5e-2a5c9e606b0b/64586deb-3fa4-4d58-a0e5-991a1fdb11d1")</f>
        <v>https://www.stromypodkontrolou.cz/map/tree/d871b8e0-e835-4674-8a5e-2a5c9e606b0b/64586deb-3fa4-4d58-a0e5-991a1fdb11d1</v>
      </c>
      <c r="O479" s="3" t="str">
        <f>HYPERLINK("https://www.mapy.cz?st=search&amp;fr=49.68351547 18.67109987")</f>
        <v>https://www.mapy.cz?st=search&amp;fr=49.68351547 18.67109987</v>
      </c>
    </row>
    <row r="480" spans="1:15" ht="120">
      <c r="A480" s="10">
        <v>374</v>
      </c>
      <c r="B480" s="3" t="s">
        <v>527</v>
      </c>
      <c r="C480" s="3" t="s">
        <v>535</v>
      </c>
      <c r="D480" s="7">
        <v>71</v>
      </c>
      <c r="E480" s="5" t="s">
        <v>540</v>
      </c>
      <c r="F480" s="3" t="s">
        <v>541</v>
      </c>
      <c r="G480" s="7" t="s">
        <v>145</v>
      </c>
      <c r="H480" s="7" t="s">
        <v>213</v>
      </c>
      <c r="I480" s="7" t="s">
        <v>25</v>
      </c>
      <c r="J480" s="3" t="s">
        <v>542</v>
      </c>
      <c r="K480" s="3" t="s">
        <v>38</v>
      </c>
      <c r="L480" s="7" t="s">
        <v>229</v>
      </c>
      <c r="M480" s="19"/>
      <c r="N480" s="3" t="str">
        <f>HYPERLINK("https://www.stromypodkontrolou.cz/map/tree/d871b8e0-e835-4674-8a5e-2a5c9e606b0b/a45d16d1-4009-4a76-8798-34d1786e1809")</f>
        <v>https://www.stromypodkontrolou.cz/map/tree/d871b8e0-e835-4674-8a5e-2a5c9e606b0b/a45d16d1-4009-4a76-8798-34d1786e1809</v>
      </c>
      <c r="O480" s="3" t="str">
        <f>HYPERLINK("https://www.mapy.cz?st=search&amp;fr=49.68367431 18.67065734")</f>
        <v>https://www.mapy.cz?st=search&amp;fr=49.68367431 18.67065734</v>
      </c>
    </row>
    <row r="481" spans="1:15" ht="120">
      <c r="A481" s="10">
        <v>375</v>
      </c>
      <c r="B481" s="3" t="s">
        <v>527</v>
      </c>
      <c r="C481" s="3" t="s">
        <v>535</v>
      </c>
      <c r="D481" s="7">
        <v>77</v>
      </c>
      <c r="E481" s="5" t="s">
        <v>536</v>
      </c>
      <c r="F481" s="3" t="s">
        <v>537</v>
      </c>
      <c r="G481" s="7" t="s">
        <v>262</v>
      </c>
      <c r="H481" s="7" t="s">
        <v>26</v>
      </c>
      <c r="I481" s="7" t="s">
        <v>20</v>
      </c>
      <c r="J481" s="3" t="s">
        <v>303</v>
      </c>
      <c r="K481" s="3" t="s">
        <v>36</v>
      </c>
      <c r="L481" s="7" t="s">
        <v>496</v>
      </c>
      <c r="M481" s="19"/>
      <c r="N481" s="3" t="str">
        <f>HYPERLINK("https://www.stromypodkontrolou.cz/map/tree/d871b8e0-e835-4674-8a5e-2a5c9e606b0b/c2500c7f-6ec0-451e-bcf5-889d89e408b5")</f>
        <v>https://www.stromypodkontrolou.cz/map/tree/d871b8e0-e835-4674-8a5e-2a5c9e606b0b/c2500c7f-6ec0-451e-bcf5-889d89e408b5</v>
      </c>
      <c r="O481" s="3" t="str">
        <f>HYPERLINK("https://www.mapy.cz?st=search&amp;fr=49.68348072 18.67175207")</f>
        <v>https://www.mapy.cz?st=search&amp;fr=49.68348072 18.67175207</v>
      </c>
    </row>
    <row r="482" spans="1:15" ht="120">
      <c r="A482" s="10">
        <v>376</v>
      </c>
      <c r="B482" s="3" t="s">
        <v>527</v>
      </c>
      <c r="C482" s="3" t="s">
        <v>535</v>
      </c>
      <c r="D482" s="7">
        <v>78</v>
      </c>
      <c r="E482" s="5" t="s">
        <v>536</v>
      </c>
      <c r="F482" s="3" t="s">
        <v>537</v>
      </c>
      <c r="G482" s="7" t="s">
        <v>135</v>
      </c>
      <c r="H482" s="7" t="s">
        <v>58</v>
      </c>
      <c r="I482" s="7" t="s">
        <v>20</v>
      </c>
      <c r="J482" s="3" t="s">
        <v>303</v>
      </c>
      <c r="K482" s="3" t="s">
        <v>36</v>
      </c>
      <c r="L482" s="7" t="s">
        <v>496</v>
      </c>
      <c r="M482" s="19"/>
      <c r="N482" s="3" t="str">
        <f>HYPERLINK("https://www.stromypodkontrolou.cz/map/tree/d871b8e0-e835-4674-8a5e-2a5c9e606b0b/9fdf36eb-84ee-49af-9c64-78b3cda6c16b")</f>
        <v>https://www.stromypodkontrolou.cz/map/tree/d871b8e0-e835-4674-8a5e-2a5c9e606b0b/9fdf36eb-84ee-49af-9c64-78b3cda6c16b</v>
      </c>
      <c r="O482" s="3" t="str">
        <f>HYPERLINK("https://www.mapy.cz?st=search&amp;fr=49.68354153 18.67166235")</f>
        <v>https://www.mapy.cz?st=search&amp;fr=49.68354153 18.67166235</v>
      </c>
    </row>
    <row r="483" spans="1:15" ht="120">
      <c r="A483" s="10">
        <v>377</v>
      </c>
      <c r="B483" s="3" t="s">
        <v>527</v>
      </c>
      <c r="C483" s="3" t="s">
        <v>535</v>
      </c>
      <c r="D483" s="7">
        <v>81</v>
      </c>
      <c r="E483" s="5" t="s">
        <v>392</v>
      </c>
      <c r="F483" s="3" t="s">
        <v>393</v>
      </c>
      <c r="G483" s="7" t="s">
        <v>34</v>
      </c>
      <c r="H483" s="7" t="s">
        <v>117</v>
      </c>
      <c r="I483" s="7" t="s">
        <v>21</v>
      </c>
      <c r="J483" s="3"/>
      <c r="K483" s="3" t="s">
        <v>23</v>
      </c>
      <c r="L483" s="7" t="s">
        <v>118</v>
      </c>
      <c r="M483" s="19"/>
      <c r="N483" s="3" t="str">
        <f>HYPERLINK("https://www.stromypodkontrolou.cz/map/tree/d871b8e0-e835-4674-8a5e-2a5c9e606b0b/6109e8f7-8ca9-433a-a4dd-488bdabba81b")</f>
        <v>https://www.stromypodkontrolou.cz/map/tree/d871b8e0-e835-4674-8a5e-2a5c9e606b0b/6109e8f7-8ca9-433a-a4dd-488bdabba81b</v>
      </c>
      <c r="O483" s="3" t="str">
        <f>HYPERLINK("https://www.mapy.cz?st=search&amp;fr=49.68373794 18.67154299")</f>
        <v>https://www.mapy.cz?st=search&amp;fr=49.68373794 18.67154299</v>
      </c>
    </row>
    <row r="484" spans="1:15" ht="120">
      <c r="A484" s="10">
        <v>378</v>
      </c>
      <c r="B484" s="3" t="s">
        <v>527</v>
      </c>
      <c r="C484" s="3" t="s">
        <v>543</v>
      </c>
      <c r="D484" s="7">
        <v>26</v>
      </c>
      <c r="E484" s="5" t="s">
        <v>544</v>
      </c>
      <c r="F484" s="3" t="s">
        <v>545</v>
      </c>
      <c r="G484" s="7" t="s">
        <v>168</v>
      </c>
      <c r="H484" s="7" t="s">
        <v>69</v>
      </c>
      <c r="I484" s="7" t="s">
        <v>34</v>
      </c>
      <c r="J484" s="3"/>
      <c r="K484" s="3" t="s">
        <v>36</v>
      </c>
      <c r="L484" s="7" t="s">
        <v>46</v>
      </c>
      <c r="M484" s="19"/>
      <c r="N484" s="3" t="str">
        <f>HYPERLINK("https://www.stromypodkontrolou.cz/map/tree/d871b8e0-e835-4674-8a5e-2a5c9e606b0b/9538f2b5-54ca-43c3-a6b9-3b1d27b9ac38")</f>
        <v>https://www.stromypodkontrolou.cz/map/tree/d871b8e0-e835-4674-8a5e-2a5c9e606b0b/9538f2b5-54ca-43c3-a6b9-3b1d27b9ac38</v>
      </c>
      <c r="O484" s="3" t="str">
        <f>HYPERLINK("https://www.mapy.cz?st=search&amp;fr=49.68463926 18.67160914")</f>
        <v>https://www.mapy.cz?st=search&amp;fr=49.68463926 18.67160914</v>
      </c>
    </row>
    <row r="485" spans="1:15" ht="120">
      <c r="A485" s="10">
        <v>379</v>
      </c>
      <c r="B485" s="3" t="s">
        <v>527</v>
      </c>
      <c r="C485" s="3" t="s">
        <v>543</v>
      </c>
      <c r="D485" s="7">
        <v>48</v>
      </c>
      <c r="E485" s="5" t="s">
        <v>546</v>
      </c>
      <c r="F485" s="3" t="s">
        <v>547</v>
      </c>
      <c r="G485" s="7" t="s">
        <v>262</v>
      </c>
      <c r="H485" s="7" t="s">
        <v>132</v>
      </c>
      <c r="I485" s="7" t="s">
        <v>27</v>
      </c>
      <c r="J485" s="3" t="s">
        <v>548</v>
      </c>
      <c r="K485" s="3" t="s">
        <v>71</v>
      </c>
      <c r="L485" s="7" t="s">
        <v>549</v>
      </c>
      <c r="M485" s="19"/>
      <c r="N485" s="3" t="str">
        <f>HYPERLINK("https://www.stromypodkontrolou.cz/map/tree/d871b8e0-e835-4674-8a5e-2a5c9e606b0b/2b6f5c46-5efe-4f7c-b727-ca3df0db5b95")</f>
        <v>https://www.stromypodkontrolou.cz/map/tree/d871b8e0-e835-4674-8a5e-2a5c9e606b0b/2b6f5c46-5efe-4f7c-b727-ca3df0db5b95</v>
      </c>
      <c r="O485" s="3" t="str">
        <f>HYPERLINK("https://www.mapy.cz?st=search&amp;fr=49.68432959 18.67155233")</f>
        <v>https://www.mapy.cz?st=search&amp;fr=49.68432959 18.67155233</v>
      </c>
    </row>
    <row r="486" spans="1:15" ht="120">
      <c r="A486" s="10">
        <v>380</v>
      </c>
      <c r="B486" s="3" t="s">
        <v>527</v>
      </c>
      <c r="C486" s="3" t="s">
        <v>543</v>
      </c>
      <c r="D486" s="7">
        <v>56</v>
      </c>
      <c r="E486" s="5" t="s">
        <v>550</v>
      </c>
      <c r="F486" s="3" t="s">
        <v>551</v>
      </c>
      <c r="G486" s="7" t="s">
        <v>99</v>
      </c>
      <c r="H486" s="7" t="s">
        <v>111</v>
      </c>
      <c r="I486" s="7" t="s">
        <v>20</v>
      </c>
      <c r="J486" s="3"/>
      <c r="K486" s="3" t="s">
        <v>36</v>
      </c>
      <c r="L486" s="7" t="s">
        <v>496</v>
      </c>
      <c r="M486" s="19"/>
      <c r="N486" s="3" t="str">
        <f>HYPERLINK("https://www.stromypodkontrolou.cz/map/tree/d871b8e0-e835-4674-8a5e-2a5c9e606b0b/41fd54ab-8d00-45aa-b4fb-ff654b89bf1d")</f>
        <v>https://www.stromypodkontrolou.cz/map/tree/d871b8e0-e835-4674-8a5e-2a5c9e606b0b/41fd54ab-8d00-45aa-b4fb-ff654b89bf1d</v>
      </c>
      <c r="O486" s="3" t="str">
        <f>HYPERLINK("https://www.mapy.cz?st=search&amp;fr=49.68417950 18.67108343")</f>
        <v>https://www.mapy.cz?st=search&amp;fr=49.68417950 18.67108343</v>
      </c>
    </row>
    <row r="487" spans="1:15" ht="120">
      <c r="A487" s="10">
        <v>381</v>
      </c>
      <c r="B487" s="3" t="s">
        <v>552</v>
      </c>
      <c r="C487" s="3" t="s">
        <v>553</v>
      </c>
      <c r="D487" s="7">
        <v>90</v>
      </c>
      <c r="E487" s="5" t="s">
        <v>91</v>
      </c>
      <c r="F487" s="3" t="s">
        <v>92</v>
      </c>
      <c r="G487" s="7" t="s">
        <v>262</v>
      </c>
      <c r="H487" s="7" t="s">
        <v>43</v>
      </c>
      <c r="I487" s="7" t="s">
        <v>50</v>
      </c>
      <c r="J487" s="3"/>
      <c r="K487" s="3" t="s">
        <v>38</v>
      </c>
      <c r="L487" s="7" t="s">
        <v>499</v>
      </c>
      <c r="M487" s="19"/>
      <c r="N487" s="3" t="str">
        <f>HYPERLINK("https://www.stromypodkontrolou.cz/map/tree/d871b8e0-e835-4674-8a5e-2a5c9e606b0b/f306d665-fb09-4066-a1c3-5fcee079855f")</f>
        <v>https://www.stromypodkontrolou.cz/map/tree/d871b8e0-e835-4674-8a5e-2a5c9e606b0b/f306d665-fb09-4066-a1c3-5fcee079855f</v>
      </c>
      <c r="O487" s="3" t="str">
        <f>HYPERLINK("https://www.mapy.cz?st=search&amp;fr=49.69401481 18.63644061")</f>
        <v>https://www.mapy.cz?st=search&amp;fr=49.69401481 18.63644061</v>
      </c>
    </row>
    <row r="488" spans="1:15" ht="120">
      <c r="A488" s="10">
        <v>382</v>
      </c>
      <c r="B488" s="3" t="s">
        <v>552</v>
      </c>
      <c r="C488" s="3" t="s">
        <v>553</v>
      </c>
      <c r="D488" s="7">
        <v>91</v>
      </c>
      <c r="E488" s="5" t="s">
        <v>91</v>
      </c>
      <c r="F488" s="3" t="s">
        <v>92</v>
      </c>
      <c r="G488" s="7" t="s">
        <v>230</v>
      </c>
      <c r="H488" s="7" t="s">
        <v>43</v>
      </c>
      <c r="I488" s="7" t="s">
        <v>27</v>
      </c>
      <c r="J488" s="3"/>
      <c r="K488" s="3" t="s">
        <v>38</v>
      </c>
      <c r="L488" s="7" t="s">
        <v>142</v>
      </c>
      <c r="M488" s="19"/>
      <c r="N488" s="3" t="str">
        <f>HYPERLINK("https://www.stromypodkontrolou.cz/map/tree/d871b8e0-e835-4674-8a5e-2a5c9e606b0b/8ba6867d-bde1-416d-84a0-a0964c13029a")</f>
        <v>https://www.stromypodkontrolou.cz/map/tree/d871b8e0-e835-4674-8a5e-2a5c9e606b0b/8ba6867d-bde1-416d-84a0-a0964c13029a</v>
      </c>
      <c r="O488" s="3" t="str">
        <f>HYPERLINK("https://www.mapy.cz?st=search&amp;fr=49.69397751 18.63635846")</f>
        <v>https://www.mapy.cz?st=search&amp;fr=49.69397751 18.63635846</v>
      </c>
    </row>
    <row r="489" spans="1:15" ht="120">
      <c r="A489" s="10">
        <v>383</v>
      </c>
      <c r="B489" s="3" t="s">
        <v>552</v>
      </c>
      <c r="C489" s="3" t="s">
        <v>553</v>
      </c>
      <c r="D489" s="7">
        <v>92</v>
      </c>
      <c r="E489" s="5" t="s">
        <v>91</v>
      </c>
      <c r="F489" s="3" t="s">
        <v>92</v>
      </c>
      <c r="G489" s="7" t="s">
        <v>135</v>
      </c>
      <c r="H489" s="7" t="s">
        <v>32</v>
      </c>
      <c r="I489" s="7" t="s">
        <v>50</v>
      </c>
      <c r="J489" s="3"/>
      <c r="K489" s="3" t="s">
        <v>38</v>
      </c>
      <c r="L489" s="7" t="s">
        <v>229</v>
      </c>
      <c r="M489" s="19"/>
      <c r="N489" s="3" t="str">
        <f>HYPERLINK("https://www.stromypodkontrolou.cz/map/tree/d871b8e0-e835-4674-8a5e-2a5c9e606b0b/d3d079d9-1816-45e9-9ea9-8988dfb1521a")</f>
        <v>https://www.stromypodkontrolou.cz/map/tree/d871b8e0-e835-4674-8a5e-2a5c9e606b0b/d3d079d9-1816-45e9-9ea9-8988dfb1521a</v>
      </c>
      <c r="O489" s="3" t="str">
        <f>HYPERLINK("https://www.mapy.cz?st=search&amp;fr=49.69393804 18.63628504")</f>
        <v>https://www.mapy.cz?st=search&amp;fr=49.69393804 18.63628504</v>
      </c>
    </row>
    <row r="490" spans="1:15" ht="36">
      <c r="A490" s="16">
        <v>384</v>
      </c>
      <c r="B490" s="13" t="s">
        <v>554</v>
      </c>
      <c r="C490" s="13" t="s">
        <v>555</v>
      </c>
      <c r="D490" s="14">
        <v>28</v>
      </c>
      <c r="E490" s="15" t="s">
        <v>556</v>
      </c>
      <c r="F490" s="13" t="s">
        <v>557</v>
      </c>
      <c r="G490" s="14" t="s">
        <v>141</v>
      </c>
      <c r="H490" s="14" t="s">
        <v>132</v>
      </c>
      <c r="I490" s="14" t="s">
        <v>20</v>
      </c>
      <c r="J490" s="13"/>
      <c r="K490" s="3" t="s">
        <v>71</v>
      </c>
      <c r="L490" s="7" t="s">
        <v>558</v>
      </c>
      <c r="M490" s="19"/>
      <c r="N490" s="13" t="str">
        <f>HYPERLINK("https://www.stromypodkontrolou.cz/map/tree/d871b8e0-e835-4674-8a5e-2a5c9e606b0b/f1668700-a7af-4663-8447-681b5fda5eb6")</f>
        <v>https://www.stromypodkontrolou.cz/map/tree/d871b8e0-e835-4674-8a5e-2a5c9e606b0b/f1668700-a7af-4663-8447-681b5fda5eb6</v>
      </c>
      <c r="O490" s="13" t="str">
        <f>HYPERLINK("https://www.mapy.cz?st=search&amp;fr=49.64486709 18.63898820")</f>
        <v>https://www.mapy.cz?st=search&amp;fr=49.64486709 18.63898820</v>
      </c>
    </row>
    <row r="491" spans="1:15" ht="36">
      <c r="A491" s="16"/>
      <c r="B491" s="13"/>
      <c r="C491" s="13"/>
      <c r="D491" s="14"/>
      <c r="E491" s="15"/>
      <c r="F491" s="13"/>
      <c r="G491" s="14"/>
      <c r="H491" s="14"/>
      <c r="I491" s="14"/>
      <c r="J491" s="13"/>
      <c r="K491" s="3" t="s">
        <v>89</v>
      </c>
      <c r="L491" s="7" t="s">
        <v>149</v>
      </c>
      <c r="M491" s="19"/>
      <c r="N491" s="13"/>
      <c r="O491" s="13"/>
    </row>
    <row r="492" spans="1:15" ht="36">
      <c r="A492" s="16">
        <v>385</v>
      </c>
      <c r="B492" s="13" t="s">
        <v>554</v>
      </c>
      <c r="C492" s="13" t="s">
        <v>555</v>
      </c>
      <c r="D492" s="14">
        <v>99</v>
      </c>
      <c r="E492" s="15" t="s">
        <v>556</v>
      </c>
      <c r="F492" s="13" t="s">
        <v>557</v>
      </c>
      <c r="G492" s="14" t="s">
        <v>168</v>
      </c>
      <c r="H492" s="14" t="s">
        <v>213</v>
      </c>
      <c r="I492" s="14" t="s">
        <v>50</v>
      </c>
      <c r="J492" s="13"/>
      <c r="K492" s="3" t="s">
        <v>71</v>
      </c>
      <c r="L492" s="7" t="s">
        <v>559</v>
      </c>
      <c r="M492" s="19"/>
      <c r="N492" s="13" t="str">
        <f>HYPERLINK("https://www.stromypodkontrolou.cz/map/tree/d871b8e0-e835-4674-8a5e-2a5c9e606b0b/d1a60e76-1b74-40b5-b22c-83cd4814fb14")</f>
        <v>https://www.stromypodkontrolou.cz/map/tree/d871b8e0-e835-4674-8a5e-2a5c9e606b0b/d1a60e76-1b74-40b5-b22c-83cd4814fb14</v>
      </c>
      <c r="O492" s="13" t="str">
        <f>HYPERLINK("https://www.mapy.cz?st=search&amp;fr=49.64539087 18.63940010")</f>
        <v>https://www.mapy.cz?st=search&amp;fr=49.64539087 18.63940010</v>
      </c>
    </row>
    <row r="493" spans="1:15" ht="36">
      <c r="A493" s="16"/>
      <c r="B493" s="13"/>
      <c r="C493" s="13"/>
      <c r="D493" s="14"/>
      <c r="E493" s="15"/>
      <c r="F493" s="13"/>
      <c r="G493" s="14"/>
      <c r="H493" s="14"/>
      <c r="I493" s="14"/>
      <c r="J493" s="13"/>
      <c r="K493" s="3" t="s">
        <v>36</v>
      </c>
      <c r="L493" s="7" t="s">
        <v>304</v>
      </c>
      <c r="M493" s="19"/>
      <c r="N493" s="13"/>
      <c r="O493" s="13"/>
    </row>
    <row r="494" spans="1:15" ht="36">
      <c r="A494" s="16">
        <v>386</v>
      </c>
      <c r="B494" s="13" t="s">
        <v>554</v>
      </c>
      <c r="C494" s="13" t="s">
        <v>555</v>
      </c>
      <c r="D494" s="14">
        <v>100</v>
      </c>
      <c r="E494" s="15" t="s">
        <v>556</v>
      </c>
      <c r="F494" s="13" t="s">
        <v>557</v>
      </c>
      <c r="G494" s="14" t="s">
        <v>367</v>
      </c>
      <c r="H494" s="14" t="s">
        <v>231</v>
      </c>
      <c r="I494" s="14" t="s">
        <v>27</v>
      </c>
      <c r="J494" s="13"/>
      <c r="K494" s="3" t="s">
        <v>71</v>
      </c>
      <c r="L494" s="7" t="s">
        <v>559</v>
      </c>
      <c r="M494" s="19"/>
      <c r="N494" s="13" t="str">
        <f>HYPERLINK("https://www.stromypodkontrolou.cz/map/tree/d871b8e0-e835-4674-8a5e-2a5c9e606b0b/1003ec33-7fa3-47bc-8849-d4a89e7e8cb4")</f>
        <v>https://www.stromypodkontrolou.cz/map/tree/d871b8e0-e835-4674-8a5e-2a5c9e606b0b/1003ec33-7fa3-47bc-8849-d4a89e7e8cb4</v>
      </c>
      <c r="O494" s="13" t="str">
        <f>HYPERLINK("https://www.mapy.cz?st=search&amp;fr=49.64535230 18.63939841")</f>
        <v>https://www.mapy.cz?st=search&amp;fr=49.64535230 18.63939841</v>
      </c>
    </row>
    <row r="495" spans="1:15" ht="36.75" thickBot="1">
      <c r="A495" s="16"/>
      <c r="B495" s="13"/>
      <c r="C495" s="13"/>
      <c r="D495" s="14"/>
      <c r="E495" s="15"/>
      <c r="F495" s="13"/>
      <c r="G495" s="14"/>
      <c r="H495" s="14"/>
      <c r="I495" s="14"/>
      <c r="J495" s="13"/>
      <c r="K495" s="3" t="s">
        <v>36</v>
      </c>
      <c r="L495" s="7" t="s">
        <v>304</v>
      </c>
      <c r="M495" s="19"/>
      <c r="N495" s="13"/>
      <c r="O495" s="13"/>
    </row>
    <row r="496" ht="16.5" thickBot="1">
      <c r="M496" s="20">
        <f>SUM(M2:M495)</f>
        <v>0</v>
      </c>
    </row>
    <row r="497" ht="12.75"/>
    <row r="498" ht="12.75"/>
  </sheetData>
  <sheetProtection/>
  <mergeCells count="1116">
    <mergeCell ref="A437:A438"/>
    <mergeCell ref="A440:A441"/>
    <mergeCell ref="A442:A443"/>
    <mergeCell ref="A446:A447"/>
    <mergeCell ref="A448:A449"/>
    <mergeCell ref="A452:A453"/>
    <mergeCell ref="A424:A425"/>
    <mergeCell ref="A426:A427"/>
    <mergeCell ref="A429:A430"/>
    <mergeCell ref="A431:A432"/>
    <mergeCell ref="A433:A434"/>
    <mergeCell ref="A435:A436"/>
    <mergeCell ref="A412:A413"/>
    <mergeCell ref="A414:A415"/>
    <mergeCell ref="A416:A417"/>
    <mergeCell ref="A418:A419"/>
    <mergeCell ref="A420:A421"/>
    <mergeCell ref="A422:A423"/>
    <mergeCell ref="A397:A398"/>
    <mergeCell ref="A400:A401"/>
    <mergeCell ref="A403:A404"/>
    <mergeCell ref="A406:A407"/>
    <mergeCell ref="A408:A409"/>
    <mergeCell ref="A410:A411"/>
    <mergeCell ref="A353:A354"/>
    <mergeCell ref="A355:A356"/>
    <mergeCell ref="A357:A358"/>
    <mergeCell ref="A490:A491"/>
    <mergeCell ref="A361:A362"/>
    <mergeCell ref="A366:A367"/>
    <mergeCell ref="A378:A379"/>
    <mergeCell ref="A381:A382"/>
    <mergeCell ref="A393:A394"/>
    <mergeCell ref="A395:A396"/>
    <mergeCell ref="A316:A317"/>
    <mergeCell ref="A335:A336"/>
    <mergeCell ref="A340:A342"/>
    <mergeCell ref="A345:A346"/>
    <mergeCell ref="A349:A350"/>
    <mergeCell ref="A351:A352"/>
    <mergeCell ref="I313:I314"/>
    <mergeCell ref="H313:H314"/>
    <mergeCell ref="N313:N314"/>
    <mergeCell ref="J313:J314"/>
    <mergeCell ref="O313:O314"/>
    <mergeCell ref="A308:A309"/>
    <mergeCell ref="A313:A314"/>
    <mergeCell ref="H308:H309"/>
    <mergeCell ref="J308:J309"/>
    <mergeCell ref="C313:C314"/>
    <mergeCell ref="B313:B314"/>
    <mergeCell ref="O308:O309"/>
    <mergeCell ref="N308:N309"/>
    <mergeCell ref="G313:G314"/>
    <mergeCell ref="F313:F314"/>
    <mergeCell ref="E313:E314"/>
    <mergeCell ref="D313:D314"/>
    <mergeCell ref="J303:J304"/>
    <mergeCell ref="B308:B309"/>
    <mergeCell ref="O303:O304"/>
    <mergeCell ref="N303:N304"/>
    <mergeCell ref="G308:G309"/>
    <mergeCell ref="F308:F309"/>
    <mergeCell ref="E308:E309"/>
    <mergeCell ref="D308:D309"/>
    <mergeCell ref="C308:C309"/>
    <mergeCell ref="I308:I309"/>
    <mergeCell ref="B303:B304"/>
    <mergeCell ref="O300:O302"/>
    <mergeCell ref="N300:N302"/>
    <mergeCell ref="F303:F304"/>
    <mergeCell ref="E303:E304"/>
    <mergeCell ref="D303:D304"/>
    <mergeCell ref="C303:C304"/>
    <mergeCell ref="H303:H304"/>
    <mergeCell ref="G303:G304"/>
    <mergeCell ref="I303:I304"/>
    <mergeCell ref="D300:D302"/>
    <mergeCell ref="C300:C302"/>
    <mergeCell ref="B300:B302"/>
    <mergeCell ref="H300:H302"/>
    <mergeCell ref="G300:G302"/>
    <mergeCell ref="F300:F302"/>
    <mergeCell ref="I291:I292"/>
    <mergeCell ref="H291:H292"/>
    <mergeCell ref="N291:N292"/>
    <mergeCell ref="J291:J292"/>
    <mergeCell ref="O291:O292"/>
    <mergeCell ref="E300:E302"/>
    <mergeCell ref="I300:I302"/>
    <mergeCell ref="J300:J302"/>
    <mergeCell ref="H286:H287"/>
    <mergeCell ref="J286:J287"/>
    <mergeCell ref="C291:C292"/>
    <mergeCell ref="B291:B292"/>
    <mergeCell ref="O286:O287"/>
    <mergeCell ref="N286:N287"/>
    <mergeCell ref="G291:G292"/>
    <mergeCell ref="F291:F292"/>
    <mergeCell ref="E291:E292"/>
    <mergeCell ref="D291:D292"/>
    <mergeCell ref="A492:A493"/>
    <mergeCell ref="A494:A495"/>
    <mergeCell ref="A347:A348"/>
    <mergeCell ref="J282:J283"/>
    <mergeCell ref="D282:D283"/>
    <mergeCell ref="C282:C283"/>
    <mergeCell ref="B282:B283"/>
    <mergeCell ref="J345:J346"/>
    <mergeCell ref="F286:F287"/>
    <mergeCell ref="E286:E287"/>
    <mergeCell ref="E282:E283"/>
    <mergeCell ref="I282:I283"/>
    <mergeCell ref="H282:H283"/>
    <mergeCell ref="G282:G283"/>
    <mergeCell ref="F282:F283"/>
    <mergeCell ref="B286:B287"/>
    <mergeCell ref="G286:G287"/>
    <mergeCell ref="D286:D287"/>
    <mergeCell ref="C286:C287"/>
    <mergeCell ref="I286:I287"/>
    <mergeCell ref="I278:I280"/>
    <mergeCell ref="H278:H280"/>
    <mergeCell ref="N278:N280"/>
    <mergeCell ref="J278:J280"/>
    <mergeCell ref="O278:O280"/>
    <mergeCell ref="O282:O283"/>
    <mergeCell ref="N282:N283"/>
    <mergeCell ref="H276:H277"/>
    <mergeCell ref="J276:J277"/>
    <mergeCell ref="C278:C280"/>
    <mergeCell ref="B278:B280"/>
    <mergeCell ref="O276:O277"/>
    <mergeCell ref="N276:N277"/>
    <mergeCell ref="G278:G280"/>
    <mergeCell ref="F278:F280"/>
    <mergeCell ref="E278:E280"/>
    <mergeCell ref="D278:D280"/>
    <mergeCell ref="J273:J274"/>
    <mergeCell ref="B276:B277"/>
    <mergeCell ref="O273:O274"/>
    <mergeCell ref="N273:N274"/>
    <mergeCell ref="G276:G277"/>
    <mergeCell ref="F276:F277"/>
    <mergeCell ref="E276:E277"/>
    <mergeCell ref="D276:D277"/>
    <mergeCell ref="C276:C277"/>
    <mergeCell ref="I276:I277"/>
    <mergeCell ref="B273:B274"/>
    <mergeCell ref="O271:O272"/>
    <mergeCell ref="N271:N272"/>
    <mergeCell ref="F273:F274"/>
    <mergeCell ref="E273:E274"/>
    <mergeCell ref="D273:D274"/>
    <mergeCell ref="C273:C274"/>
    <mergeCell ref="H273:H274"/>
    <mergeCell ref="G273:G274"/>
    <mergeCell ref="I273:I274"/>
    <mergeCell ref="O269:O270"/>
    <mergeCell ref="E271:E272"/>
    <mergeCell ref="I271:I272"/>
    <mergeCell ref="D271:D272"/>
    <mergeCell ref="C271:C272"/>
    <mergeCell ref="B271:B272"/>
    <mergeCell ref="H271:H272"/>
    <mergeCell ref="G271:G272"/>
    <mergeCell ref="F271:F272"/>
    <mergeCell ref="J271:J272"/>
    <mergeCell ref="B269:B270"/>
    <mergeCell ref="O267:O268"/>
    <mergeCell ref="N267:N268"/>
    <mergeCell ref="G269:G270"/>
    <mergeCell ref="F269:F270"/>
    <mergeCell ref="E269:E270"/>
    <mergeCell ref="D269:D270"/>
    <mergeCell ref="I269:I270"/>
    <mergeCell ref="H269:H270"/>
    <mergeCell ref="N269:N270"/>
    <mergeCell ref="D267:D268"/>
    <mergeCell ref="C267:C268"/>
    <mergeCell ref="I267:I268"/>
    <mergeCell ref="H267:H268"/>
    <mergeCell ref="J267:J268"/>
    <mergeCell ref="C269:C270"/>
    <mergeCell ref="J269:J270"/>
    <mergeCell ref="B267:B268"/>
    <mergeCell ref="G267:G268"/>
    <mergeCell ref="J234:J235"/>
    <mergeCell ref="O234:O235"/>
    <mergeCell ref="N234:N235"/>
    <mergeCell ref="E234:E235"/>
    <mergeCell ref="I234:I235"/>
    <mergeCell ref="D234:D235"/>
    <mergeCell ref="F267:F268"/>
    <mergeCell ref="E267:E268"/>
    <mergeCell ref="H228:H230"/>
    <mergeCell ref="N228:N230"/>
    <mergeCell ref="J228:J230"/>
    <mergeCell ref="O228:O230"/>
    <mergeCell ref="C234:C235"/>
    <mergeCell ref="B234:B235"/>
    <mergeCell ref="H234:H235"/>
    <mergeCell ref="G234:G235"/>
    <mergeCell ref="F234:F235"/>
    <mergeCell ref="D228:D230"/>
    <mergeCell ref="H224:H225"/>
    <mergeCell ref="J224:J225"/>
    <mergeCell ref="C228:C230"/>
    <mergeCell ref="B228:B230"/>
    <mergeCell ref="O224:O225"/>
    <mergeCell ref="N224:N225"/>
    <mergeCell ref="G228:G230"/>
    <mergeCell ref="F228:F230"/>
    <mergeCell ref="E228:E230"/>
    <mergeCell ref="I228:I230"/>
    <mergeCell ref="J222:J223"/>
    <mergeCell ref="B224:B225"/>
    <mergeCell ref="O222:O223"/>
    <mergeCell ref="N222:N223"/>
    <mergeCell ref="G224:G225"/>
    <mergeCell ref="F224:F225"/>
    <mergeCell ref="E224:E225"/>
    <mergeCell ref="D224:D225"/>
    <mergeCell ref="C224:C225"/>
    <mergeCell ref="I224:I225"/>
    <mergeCell ref="B222:B223"/>
    <mergeCell ref="O211:O212"/>
    <mergeCell ref="N211:N212"/>
    <mergeCell ref="F222:F223"/>
    <mergeCell ref="E222:E223"/>
    <mergeCell ref="D222:D223"/>
    <mergeCell ref="C222:C223"/>
    <mergeCell ref="H222:H223"/>
    <mergeCell ref="G222:G223"/>
    <mergeCell ref="I222:I223"/>
    <mergeCell ref="O209:O210"/>
    <mergeCell ref="E211:E212"/>
    <mergeCell ref="I211:I212"/>
    <mergeCell ref="D211:D212"/>
    <mergeCell ref="C211:C212"/>
    <mergeCell ref="B211:B212"/>
    <mergeCell ref="H211:H212"/>
    <mergeCell ref="G211:G212"/>
    <mergeCell ref="F211:F212"/>
    <mergeCell ref="J211:J212"/>
    <mergeCell ref="B209:B210"/>
    <mergeCell ref="O206:O207"/>
    <mergeCell ref="N206:N207"/>
    <mergeCell ref="G209:G210"/>
    <mergeCell ref="F209:F210"/>
    <mergeCell ref="E209:E210"/>
    <mergeCell ref="I209:I210"/>
    <mergeCell ref="H209:H210"/>
    <mergeCell ref="N209:N210"/>
    <mergeCell ref="J209:J210"/>
    <mergeCell ref="D206:D207"/>
    <mergeCell ref="C206:C207"/>
    <mergeCell ref="I206:I207"/>
    <mergeCell ref="H206:H207"/>
    <mergeCell ref="J206:J207"/>
    <mergeCell ref="C209:C210"/>
    <mergeCell ref="H201:H202"/>
    <mergeCell ref="G201:G202"/>
    <mergeCell ref="I201:I202"/>
    <mergeCell ref="J201:J202"/>
    <mergeCell ref="B206:B207"/>
    <mergeCell ref="O201:O202"/>
    <mergeCell ref="N201:N202"/>
    <mergeCell ref="G206:G207"/>
    <mergeCell ref="F206:F207"/>
    <mergeCell ref="E206:E207"/>
    <mergeCell ref="B193:B194"/>
    <mergeCell ref="H193:H194"/>
    <mergeCell ref="G193:G194"/>
    <mergeCell ref="F193:F194"/>
    <mergeCell ref="J193:J194"/>
    <mergeCell ref="B201:B202"/>
    <mergeCell ref="F201:F202"/>
    <mergeCell ref="E201:E202"/>
    <mergeCell ref="D201:D202"/>
    <mergeCell ref="C201:C202"/>
    <mergeCell ref="J191:J192"/>
    <mergeCell ref="O191:O192"/>
    <mergeCell ref="E193:E194"/>
    <mergeCell ref="I193:I194"/>
    <mergeCell ref="D193:D194"/>
    <mergeCell ref="C193:C194"/>
    <mergeCell ref="O193:O194"/>
    <mergeCell ref="N193:N194"/>
    <mergeCell ref="C191:C192"/>
    <mergeCell ref="B191:B192"/>
    <mergeCell ref="O179:O180"/>
    <mergeCell ref="N179:N180"/>
    <mergeCell ref="G191:G192"/>
    <mergeCell ref="F191:F192"/>
    <mergeCell ref="E191:E192"/>
    <mergeCell ref="I191:I192"/>
    <mergeCell ref="H191:H192"/>
    <mergeCell ref="N191:N192"/>
    <mergeCell ref="E179:E180"/>
    <mergeCell ref="D179:D180"/>
    <mergeCell ref="C179:C180"/>
    <mergeCell ref="I179:I180"/>
    <mergeCell ref="H179:H180"/>
    <mergeCell ref="J179:J180"/>
    <mergeCell ref="G179:G180"/>
    <mergeCell ref="A5:A6"/>
    <mergeCell ref="A7:A8"/>
    <mergeCell ref="A9:A10"/>
    <mergeCell ref="A11:A12"/>
    <mergeCell ref="A16:A18"/>
    <mergeCell ref="A19:A20"/>
    <mergeCell ref="A25:A27"/>
    <mergeCell ref="A28:A30"/>
    <mergeCell ref="F179:F180"/>
    <mergeCell ref="A31:A32"/>
    <mergeCell ref="A47:A49"/>
    <mergeCell ref="A50:A51"/>
    <mergeCell ref="A53:A55"/>
    <mergeCell ref="A58:A59"/>
    <mergeCell ref="B179:B180"/>
    <mergeCell ref="D171:D172"/>
    <mergeCell ref="C171:C172"/>
    <mergeCell ref="B171:B172"/>
    <mergeCell ref="H171:H172"/>
    <mergeCell ref="G171:G172"/>
    <mergeCell ref="F171:F172"/>
    <mergeCell ref="H167:H168"/>
    <mergeCell ref="N167:N168"/>
    <mergeCell ref="J167:J168"/>
    <mergeCell ref="O167:O168"/>
    <mergeCell ref="E171:E172"/>
    <mergeCell ref="I171:I172"/>
    <mergeCell ref="J171:J172"/>
    <mergeCell ref="O171:O172"/>
    <mergeCell ref="N171:N172"/>
    <mergeCell ref="H158:H159"/>
    <mergeCell ref="J158:J159"/>
    <mergeCell ref="C167:C168"/>
    <mergeCell ref="B167:B168"/>
    <mergeCell ref="O158:O159"/>
    <mergeCell ref="N158:N159"/>
    <mergeCell ref="G167:G168"/>
    <mergeCell ref="F167:F168"/>
    <mergeCell ref="E167:E168"/>
    <mergeCell ref="I167:I168"/>
    <mergeCell ref="J155:J156"/>
    <mergeCell ref="B158:B159"/>
    <mergeCell ref="O155:O156"/>
    <mergeCell ref="N155:N156"/>
    <mergeCell ref="G158:G159"/>
    <mergeCell ref="F158:F159"/>
    <mergeCell ref="E158:E159"/>
    <mergeCell ref="D158:D159"/>
    <mergeCell ref="C158:C159"/>
    <mergeCell ref="I158:I159"/>
    <mergeCell ref="B155:B156"/>
    <mergeCell ref="O150:O151"/>
    <mergeCell ref="N150:N151"/>
    <mergeCell ref="F155:F156"/>
    <mergeCell ref="E155:E156"/>
    <mergeCell ref="D155:D156"/>
    <mergeCell ref="C155:C156"/>
    <mergeCell ref="H155:H156"/>
    <mergeCell ref="G155:G156"/>
    <mergeCell ref="I155:I156"/>
    <mergeCell ref="O148:O149"/>
    <mergeCell ref="E150:E151"/>
    <mergeCell ref="I150:I151"/>
    <mergeCell ref="D150:D151"/>
    <mergeCell ref="C150:C151"/>
    <mergeCell ref="B150:B151"/>
    <mergeCell ref="H150:H151"/>
    <mergeCell ref="G150:G151"/>
    <mergeCell ref="F150:F151"/>
    <mergeCell ref="J150:J151"/>
    <mergeCell ref="B148:B149"/>
    <mergeCell ref="O145:O147"/>
    <mergeCell ref="N145:N147"/>
    <mergeCell ref="G148:G149"/>
    <mergeCell ref="F148:F149"/>
    <mergeCell ref="E148:E149"/>
    <mergeCell ref="I148:I149"/>
    <mergeCell ref="H148:H149"/>
    <mergeCell ref="N148:N149"/>
    <mergeCell ref="J148:J149"/>
    <mergeCell ref="D145:D147"/>
    <mergeCell ref="C145:C147"/>
    <mergeCell ref="I145:I147"/>
    <mergeCell ref="H145:H147"/>
    <mergeCell ref="J145:J147"/>
    <mergeCell ref="C148:C149"/>
    <mergeCell ref="H138:H139"/>
    <mergeCell ref="G138:G139"/>
    <mergeCell ref="I138:I139"/>
    <mergeCell ref="J138:J139"/>
    <mergeCell ref="B145:B147"/>
    <mergeCell ref="O138:O139"/>
    <mergeCell ref="N138:N139"/>
    <mergeCell ref="G145:G147"/>
    <mergeCell ref="F145:F147"/>
    <mergeCell ref="E145:E147"/>
    <mergeCell ref="B138:B139"/>
    <mergeCell ref="F138:F139"/>
    <mergeCell ref="E138:E139"/>
    <mergeCell ref="D138:D139"/>
    <mergeCell ref="C138:C139"/>
    <mergeCell ref="A75:A77"/>
    <mergeCell ref="A108:A109"/>
    <mergeCell ref="A110:A114"/>
    <mergeCell ref="A115:A116"/>
    <mergeCell ref="A127:A129"/>
    <mergeCell ref="A179:A180"/>
    <mergeCell ref="A191:A192"/>
    <mergeCell ref="A193:A194"/>
    <mergeCell ref="A201:A202"/>
    <mergeCell ref="A138:A139"/>
    <mergeCell ref="A145:A147"/>
    <mergeCell ref="A148:A149"/>
    <mergeCell ref="A150:A151"/>
    <mergeCell ref="A155:A156"/>
    <mergeCell ref="A158:A159"/>
    <mergeCell ref="J127:J129"/>
    <mergeCell ref="O127:O129"/>
    <mergeCell ref="N127:N129"/>
    <mergeCell ref="A206:A207"/>
    <mergeCell ref="F127:F129"/>
    <mergeCell ref="E127:E129"/>
    <mergeCell ref="D127:D129"/>
    <mergeCell ref="C127:C129"/>
    <mergeCell ref="A167:A168"/>
    <mergeCell ref="A171:A172"/>
    <mergeCell ref="B127:B129"/>
    <mergeCell ref="O115:O116"/>
    <mergeCell ref="N115:N116"/>
    <mergeCell ref="G127:G129"/>
    <mergeCell ref="I127:I129"/>
    <mergeCell ref="H127:H129"/>
    <mergeCell ref="H115:H116"/>
    <mergeCell ref="G115:G116"/>
    <mergeCell ref="I115:I116"/>
    <mergeCell ref="J115:J116"/>
    <mergeCell ref="B115:B116"/>
    <mergeCell ref="O110:O114"/>
    <mergeCell ref="N110:N114"/>
    <mergeCell ref="F115:F116"/>
    <mergeCell ref="E115:E116"/>
    <mergeCell ref="D115:D116"/>
    <mergeCell ref="C115:C116"/>
    <mergeCell ref="D110:D114"/>
    <mergeCell ref="C110:C114"/>
    <mergeCell ref="B110:B114"/>
    <mergeCell ref="H110:H114"/>
    <mergeCell ref="G110:G114"/>
    <mergeCell ref="F110:F114"/>
    <mergeCell ref="I108:I109"/>
    <mergeCell ref="H108:H109"/>
    <mergeCell ref="N108:N109"/>
    <mergeCell ref="J108:J109"/>
    <mergeCell ref="O108:O109"/>
    <mergeCell ref="E110:E114"/>
    <mergeCell ref="I110:I114"/>
    <mergeCell ref="J110:J114"/>
    <mergeCell ref="H75:H77"/>
    <mergeCell ref="J75:J77"/>
    <mergeCell ref="C108:C109"/>
    <mergeCell ref="B108:B109"/>
    <mergeCell ref="O75:O77"/>
    <mergeCell ref="N75:N77"/>
    <mergeCell ref="G108:G109"/>
    <mergeCell ref="F108:F109"/>
    <mergeCell ref="E108:E109"/>
    <mergeCell ref="D108:D109"/>
    <mergeCell ref="J58:J59"/>
    <mergeCell ref="B75:B77"/>
    <mergeCell ref="O58:O59"/>
    <mergeCell ref="N58:N59"/>
    <mergeCell ref="G75:G77"/>
    <mergeCell ref="F75:F77"/>
    <mergeCell ref="E75:E77"/>
    <mergeCell ref="D75:D77"/>
    <mergeCell ref="C75:C77"/>
    <mergeCell ref="I75:I77"/>
    <mergeCell ref="B58:B59"/>
    <mergeCell ref="O53:O55"/>
    <mergeCell ref="N53:N55"/>
    <mergeCell ref="F58:F59"/>
    <mergeCell ref="E58:E59"/>
    <mergeCell ref="D58:D59"/>
    <mergeCell ref="C58:C59"/>
    <mergeCell ref="H58:H59"/>
    <mergeCell ref="G58:G59"/>
    <mergeCell ref="I58:I59"/>
    <mergeCell ref="D53:D55"/>
    <mergeCell ref="C53:C55"/>
    <mergeCell ref="B53:B55"/>
    <mergeCell ref="H53:H55"/>
    <mergeCell ref="G53:G55"/>
    <mergeCell ref="F53:F55"/>
    <mergeCell ref="I50:I51"/>
    <mergeCell ref="H50:H51"/>
    <mergeCell ref="N50:N51"/>
    <mergeCell ref="J50:J51"/>
    <mergeCell ref="O50:O51"/>
    <mergeCell ref="E53:E55"/>
    <mergeCell ref="I53:I55"/>
    <mergeCell ref="J53:J55"/>
    <mergeCell ref="H47:H49"/>
    <mergeCell ref="J47:J49"/>
    <mergeCell ref="C50:C51"/>
    <mergeCell ref="B50:B51"/>
    <mergeCell ref="O47:O49"/>
    <mergeCell ref="N47:N49"/>
    <mergeCell ref="G50:G51"/>
    <mergeCell ref="F50:F51"/>
    <mergeCell ref="E50:E51"/>
    <mergeCell ref="D50:D51"/>
    <mergeCell ref="J31:J32"/>
    <mergeCell ref="B47:B49"/>
    <mergeCell ref="O31:O32"/>
    <mergeCell ref="N31:N32"/>
    <mergeCell ref="G47:G49"/>
    <mergeCell ref="F47:F49"/>
    <mergeCell ref="E47:E49"/>
    <mergeCell ref="D47:D49"/>
    <mergeCell ref="C47:C49"/>
    <mergeCell ref="I47:I49"/>
    <mergeCell ref="B31:B32"/>
    <mergeCell ref="O28:O30"/>
    <mergeCell ref="N28:N30"/>
    <mergeCell ref="F31:F32"/>
    <mergeCell ref="E31:E32"/>
    <mergeCell ref="D31:D32"/>
    <mergeCell ref="C31:C32"/>
    <mergeCell ref="H31:H32"/>
    <mergeCell ref="G31:G32"/>
    <mergeCell ref="I31:I32"/>
    <mergeCell ref="D28:D30"/>
    <mergeCell ref="C28:C30"/>
    <mergeCell ref="B28:B30"/>
    <mergeCell ref="H28:H30"/>
    <mergeCell ref="G28:G30"/>
    <mergeCell ref="F28:F30"/>
    <mergeCell ref="I25:I27"/>
    <mergeCell ref="H25:H27"/>
    <mergeCell ref="N25:N27"/>
    <mergeCell ref="J25:J27"/>
    <mergeCell ref="O25:O27"/>
    <mergeCell ref="E28:E30"/>
    <mergeCell ref="I28:I30"/>
    <mergeCell ref="J28:J30"/>
    <mergeCell ref="H19:H20"/>
    <mergeCell ref="J19:J20"/>
    <mergeCell ref="C25:C27"/>
    <mergeCell ref="B25:B27"/>
    <mergeCell ref="O19:O20"/>
    <mergeCell ref="N19:N20"/>
    <mergeCell ref="G25:G27"/>
    <mergeCell ref="F25:F27"/>
    <mergeCell ref="E25:E27"/>
    <mergeCell ref="D25:D27"/>
    <mergeCell ref="J16:J18"/>
    <mergeCell ref="B19:B20"/>
    <mergeCell ref="O16:O18"/>
    <mergeCell ref="N16:N18"/>
    <mergeCell ref="G19:G20"/>
    <mergeCell ref="F19:F20"/>
    <mergeCell ref="E19:E20"/>
    <mergeCell ref="D19:D20"/>
    <mergeCell ref="C19:C20"/>
    <mergeCell ref="I19:I20"/>
    <mergeCell ref="B16:B18"/>
    <mergeCell ref="O11:O12"/>
    <mergeCell ref="N11:N12"/>
    <mergeCell ref="F16:F18"/>
    <mergeCell ref="E16:E18"/>
    <mergeCell ref="D16:D18"/>
    <mergeCell ref="C16:C18"/>
    <mergeCell ref="H16:H18"/>
    <mergeCell ref="G16:G18"/>
    <mergeCell ref="I16:I18"/>
    <mergeCell ref="D11:D12"/>
    <mergeCell ref="C11:C12"/>
    <mergeCell ref="B11:B12"/>
    <mergeCell ref="H11:H12"/>
    <mergeCell ref="G11:G12"/>
    <mergeCell ref="F11:F12"/>
    <mergeCell ref="N9:N10"/>
    <mergeCell ref="J9:J10"/>
    <mergeCell ref="O9:O10"/>
    <mergeCell ref="E11:E12"/>
    <mergeCell ref="I11:I12"/>
    <mergeCell ref="J11:J12"/>
    <mergeCell ref="C9:C10"/>
    <mergeCell ref="H9:H10"/>
    <mergeCell ref="B9:B10"/>
    <mergeCell ref="O7:O8"/>
    <mergeCell ref="N7:N8"/>
    <mergeCell ref="G9:G10"/>
    <mergeCell ref="F9:F10"/>
    <mergeCell ref="E9:E10"/>
    <mergeCell ref="D9:D10"/>
    <mergeCell ref="I9:I10"/>
    <mergeCell ref="J5:J6"/>
    <mergeCell ref="B7:B8"/>
    <mergeCell ref="O5:O6"/>
    <mergeCell ref="N5:N6"/>
    <mergeCell ref="G7:G8"/>
    <mergeCell ref="F7:F8"/>
    <mergeCell ref="E7:E8"/>
    <mergeCell ref="I7:I8"/>
    <mergeCell ref="H7:H8"/>
    <mergeCell ref="J7:J8"/>
    <mergeCell ref="C5:C6"/>
    <mergeCell ref="D7:D8"/>
    <mergeCell ref="C7:C8"/>
    <mergeCell ref="H5:H6"/>
    <mergeCell ref="G5:G6"/>
    <mergeCell ref="I5:I6"/>
    <mergeCell ref="H316:H317"/>
    <mergeCell ref="I316:I317"/>
    <mergeCell ref="E316:E317"/>
    <mergeCell ref="B5:B6"/>
    <mergeCell ref="B316:B317"/>
    <mergeCell ref="C316:C317"/>
    <mergeCell ref="D316:D317"/>
    <mergeCell ref="F5:F6"/>
    <mergeCell ref="E5:E6"/>
    <mergeCell ref="D5:D6"/>
    <mergeCell ref="F316:F317"/>
    <mergeCell ref="G316:G317"/>
    <mergeCell ref="J335:J336"/>
    <mergeCell ref="O316:O317"/>
    <mergeCell ref="B335:B336"/>
    <mergeCell ref="C335:C336"/>
    <mergeCell ref="D335:D336"/>
    <mergeCell ref="E335:E336"/>
    <mergeCell ref="N316:N317"/>
    <mergeCell ref="J316:J317"/>
    <mergeCell ref="F335:F336"/>
    <mergeCell ref="G335:G336"/>
    <mergeCell ref="H335:H336"/>
    <mergeCell ref="J340:J342"/>
    <mergeCell ref="I340:I342"/>
    <mergeCell ref="G340:G342"/>
    <mergeCell ref="O335:O336"/>
    <mergeCell ref="B340:B342"/>
    <mergeCell ref="C340:C342"/>
    <mergeCell ref="D340:D342"/>
    <mergeCell ref="E340:E342"/>
    <mergeCell ref="F340:F342"/>
    <mergeCell ref="N335:N336"/>
    <mergeCell ref="N340:N342"/>
    <mergeCell ref="O340:O342"/>
    <mergeCell ref="I335:I336"/>
    <mergeCell ref="H340:H342"/>
    <mergeCell ref="B345:B346"/>
    <mergeCell ref="C345:C346"/>
    <mergeCell ref="D345:D346"/>
    <mergeCell ref="E345:E346"/>
    <mergeCell ref="F345:F346"/>
    <mergeCell ref="H345:H346"/>
    <mergeCell ref="O345:O346"/>
    <mergeCell ref="N345:N346"/>
    <mergeCell ref="G345:G346"/>
    <mergeCell ref="B347:B348"/>
    <mergeCell ref="C347:C348"/>
    <mergeCell ref="D347:D348"/>
    <mergeCell ref="E347:E348"/>
    <mergeCell ref="F347:F348"/>
    <mergeCell ref="I345:I346"/>
    <mergeCell ref="G347:G348"/>
    <mergeCell ref="O347:O348"/>
    <mergeCell ref="J347:J348"/>
    <mergeCell ref="N347:N348"/>
    <mergeCell ref="H347:H348"/>
    <mergeCell ref="I347:I348"/>
    <mergeCell ref="G349:G350"/>
    <mergeCell ref="H349:H350"/>
    <mergeCell ref="B349:B350"/>
    <mergeCell ref="C349:C350"/>
    <mergeCell ref="D349:D350"/>
    <mergeCell ref="E349:E350"/>
    <mergeCell ref="O349:O350"/>
    <mergeCell ref="B351:B352"/>
    <mergeCell ref="C351:C352"/>
    <mergeCell ref="D351:D352"/>
    <mergeCell ref="E351:E352"/>
    <mergeCell ref="F351:F352"/>
    <mergeCell ref="N349:N350"/>
    <mergeCell ref="J349:J350"/>
    <mergeCell ref="I349:I350"/>
    <mergeCell ref="F349:F350"/>
    <mergeCell ref="J351:J352"/>
    <mergeCell ref="I351:I352"/>
    <mergeCell ref="G351:G352"/>
    <mergeCell ref="H351:H352"/>
    <mergeCell ref="J353:J354"/>
    <mergeCell ref="H353:H354"/>
    <mergeCell ref="I353:I354"/>
    <mergeCell ref="O351:O352"/>
    <mergeCell ref="B353:B354"/>
    <mergeCell ref="C353:C354"/>
    <mergeCell ref="D353:D354"/>
    <mergeCell ref="E353:E354"/>
    <mergeCell ref="F353:F354"/>
    <mergeCell ref="O353:O354"/>
    <mergeCell ref="N353:N354"/>
    <mergeCell ref="G353:G354"/>
    <mergeCell ref="N351:N352"/>
    <mergeCell ref="O355:O356"/>
    <mergeCell ref="J355:J356"/>
    <mergeCell ref="N355:N356"/>
    <mergeCell ref="B355:B356"/>
    <mergeCell ref="C355:C356"/>
    <mergeCell ref="D355:D356"/>
    <mergeCell ref="E355:E356"/>
    <mergeCell ref="F355:F356"/>
    <mergeCell ref="G355:G356"/>
    <mergeCell ref="C357:C358"/>
    <mergeCell ref="D357:D358"/>
    <mergeCell ref="E357:E358"/>
    <mergeCell ref="N361:N362"/>
    <mergeCell ref="H355:H356"/>
    <mergeCell ref="I355:I356"/>
    <mergeCell ref="I357:I358"/>
    <mergeCell ref="F357:F358"/>
    <mergeCell ref="G357:G358"/>
    <mergeCell ref="H357:H358"/>
    <mergeCell ref="O357:O358"/>
    <mergeCell ref="B361:B362"/>
    <mergeCell ref="C361:C362"/>
    <mergeCell ref="D361:D362"/>
    <mergeCell ref="E361:E362"/>
    <mergeCell ref="F361:F362"/>
    <mergeCell ref="N357:N358"/>
    <mergeCell ref="J357:J358"/>
    <mergeCell ref="O361:O362"/>
    <mergeCell ref="B357:B358"/>
    <mergeCell ref="J361:J362"/>
    <mergeCell ref="I361:I362"/>
    <mergeCell ref="G361:G362"/>
    <mergeCell ref="H361:H362"/>
    <mergeCell ref="B366:B367"/>
    <mergeCell ref="C366:C367"/>
    <mergeCell ref="D366:D367"/>
    <mergeCell ref="E366:E367"/>
    <mergeCell ref="F366:F367"/>
    <mergeCell ref="J366:J367"/>
    <mergeCell ref="O366:O367"/>
    <mergeCell ref="N366:N367"/>
    <mergeCell ref="G366:G367"/>
    <mergeCell ref="B378:B379"/>
    <mergeCell ref="C378:C379"/>
    <mergeCell ref="D378:D379"/>
    <mergeCell ref="E378:E379"/>
    <mergeCell ref="F378:F379"/>
    <mergeCell ref="H366:H367"/>
    <mergeCell ref="I366:I367"/>
    <mergeCell ref="G378:G379"/>
    <mergeCell ref="O378:O379"/>
    <mergeCell ref="J378:J379"/>
    <mergeCell ref="N378:N379"/>
    <mergeCell ref="H378:H379"/>
    <mergeCell ref="I378:I379"/>
    <mergeCell ref="G381:G382"/>
    <mergeCell ref="H381:H382"/>
    <mergeCell ref="B381:B382"/>
    <mergeCell ref="C381:C382"/>
    <mergeCell ref="D381:D382"/>
    <mergeCell ref="E381:E382"/>
    <mergeCell ref="O381:O382"/>
    <mergeCell ref="B393:B394"/>
    <mergeCell ref="C393:C394"/>
    <mergeCell ref="D393:D394"/>
    <mergeCell ref="E393:E394"/>
    <mergeCell ref="F393:F394"/>
    <mergeCell ref="N381:N382"/>
    <mergeCell ref="J381:J382"/>
    <mergeCell ref="I381:I382"/>
    <mergeCell ref="F381:F382"/>
    <mergeCell ref="J393:J394"/>
    <mergeCell ref="I393:I394"/>
    <mergeCell ref="G393:G394"/>
    <mergeCell ref="H393:H394"/>
    <mergeCell ref="J395:J396"/>
    <mergeCell ref="H395:H396"/>
    <mergeCell ref="I395:I396"/>
    <mergeCell ref="O393:O394"/>
    <mergeCell ref="B395:B396"/>
    <mergeCell ref="C395:C396"/>
    <mergeCell ref="D395:D396"/>
    <mergeCell ref="E395:E396"/>
    <mergeCell ref="F395:F396"/>
    <mergeCell ref="O395:O396"/>
    <mergeCell ref="N395:N396"/>
    <mergeCell ref="G395:G396"/>
    <mergeCell ref="N393:N394"/>
    <mergeCell ref="O397:O398"/>
    <mergeCell ref="J397:J398"/>
    <mergeCell ref="N397:N398"/>
    <mergeCell ref="B397:B398"/>
    <mergeCell ref="C397:C398"/>
    <mergeCell ref="D397:D398"/>
    <mergeCell ref="E397:E398"/>
    <mergeCell ref="F397:F398"/>
    <mergeCell ref="G397:G398"/>
    <mergeCell ref="C400:C401"/>
    <mergeCell ref="D400:D401"/>
    <mergeCell ref="E400:E401"/>
    <mergeCell ref="N403:N404"/>
    <mergeCell ref="H397:H398"/>
    <mergeCell ref="I397:I398"/>
    <mergeCell ref="I400:I401"/>
    <mergeCell ref="F400:F401"/>
    <mergeCell ref="G400:G401"/>
    <mergeCell ref="H400:H401"/>
    <mergeCell ref="O400:O401"/>
    <mergeCell ref="B403:B404"/>
    <mergeCell ref="C403:C404"/>
    <mergeCell ref="D403:D404"/>
    <mergeCell ref="E403:E404"/>
    <mergeCell ref="F403:F404"/>
    <mergeCell ref="N400:N401"/>
    <mergeCell ref="J400:J401"/>
    <mergeCell ref="O403:O404"/>
    <mergeCell ref="B400:B401"/>
    <mergeCell ref="J403:J404"/>
    <mergeCell ref="I403:I404"/>
    <mergeCell ref="G403:G404"/>
    <mergeCell ref="H403:H404"/>
    <mergeCell ref="B406:B407"/>
    <mergeCell ref="C406:C407"/>
    <mergeCell ref="D406:D407"/>
    <mergeCell ref="E406:E407"/>
    <mergeCell ref="F406:F407"/>
    <mergeCell ref="J406:J407"/>
    <mergeCell ref="O406:O407"/>
    <mergeCell ref="N406:N407"/>
    <mergeCell ref="G406:G407"/>
    <mergeCell ref="B408:B409"/>
    <mergeCell ref="C408:C409"/>
    <mergeCell ref="D408:D409"/>
    <mergeCell ref="E408:E409"/>
    <mergeCell ref="F408:F409"/>
    <mergeCell ref="H406:H407"/>
    <mergeCell ref="I406:I407"/>
    <mergeCell ref="G408:G409"/>
    <mergeCell ref="O408:O409"/>
    <mergeCell ref="J408:J409"/>
    <mergeCell ref="N408:N409"/>
    <mergeCell ref="H408:H409"/>
    <mergeCell ref="I408:I409"/>
    <mergeCell ref="G410:G411"/>
    <mergeCell ref="H410:H411"/>
    <mergeCell ref="B410:B411"/>
    <mergeCell ref="C410:C411"/>
    <mergeCell ref="D410:D411"/>
    <mergeCell ref="E410:E411"/>
    <mergeCell ref="O410:O411"/>
    <mergeCell ref="B412:B413"/>
    <mergeCell ref="C412:C413"/>
    <mergeCell ref="D412:D413"/>
    <mergeCell ref="E412:E413"/>
    <mergeCell ref="F412:F413"/>
    <mergeCell ref="N410:N411"/>
    <mergeCell ref="J410:J411"/>
    <mergeCell ref="I410:I411"/>
    <mergeCell ref="F410:F411"/>
    <mergeCell ref="J412:J413"/>
    <mergeCell ref="I412:I413"/>
    <mergeCell ref="G412:G413"/>
    <mergeCell ref="H412:H413"/>
    <mergeCell ref="J414:J415"/>
    <mergeCell ref="H414:H415"/>
    <mergeCell ref="I414:I415"/>
    <mergeCell ref="O412:O413"/>
    <mergeCell ref="B414:B415"/>
    <mergeCell ref="C414:C415"/>
    <mergeCell ref="D414:D415"/>
    <mergeCell ref="E414:E415"/>
    <mergeCell ref="F414:F415"/>
    <mergeCell ref="O414:O415"/>
    <mergeCell ref="N414:N415"/>
    <mergeCell ref="G414:G415"/>
    <mergeCell ref="N412:N413"/>
    <mergeCell ref="O416:O417"/>
    <mergeCell ref="J416:J417"/>
    <mergeCell ref="N416:N417"/>
    <mergeCell ref="B416:B417"/>
    <mergeCell ref="C416:C417"/>
    <mergeCell ref="D416:D417"/>
    <mergeCell ref="E416:E417"/>
    <mergeCell ref="F416:F417"/>
    <mergeCell ref="G416:G417"/>
    <mergeCell ref="C418:C419"/>
    <mergeCell ref="D418:D419"/>
    <mergeCell ref="E418:E419"/>
    <mergeCell ref="N420:N421"/>
    <mergeCell ref="H416:H417"/>
    <mergeCell ref="I416:I417"/>
    <mergeCell ref="I418:I419"/>
    <mergeCell ref="F418:F419"/>
    <mergeCell ref="G418:G419"/>
    <mergeCell ref="H418:H419"/>
    <mergeCell ref="O418:O419"/>
    <mergeCell ref="B420:B421"/>
    <mergeCell ref="C420:C421"/>
    <mergeCell ref="D420:D421"/>
    <mergeCell ref="E420:E421"/>
    <mergeCell ref="F420:F421"/>
    <mergeCell ref="N418:N419"/>
    <mergeCell ref="J418:J419"/>
    <mergeCell ref="O420:O421"/>
    <mergeCell ref="B418:B419"/>
    <mergeCell ref="J420:J421"/>
    <mergeCell ref="I420:I421"/>
    <mergeCell ref="G420:G421"/>
    <mergeCell ref="H420:H421"/>
    <mergeCell ref="B422:B423"/>
    <mergeCell ref="C422:C423"/>
    <mergeCell ref="D422:D423"/>
    <mergeCell ref="E422:E423"/>
    <mergeCell ref="F422:F423"/>
    <mergeCell ref="J422:J423"/>
    <mergeCell ref="O422:O423"/>
    <mergeCell ref="N422:N423"/>
    <mergeCell ref="G422:G423"/>
    <mergeCell ref="B424:B425"/>
    <mergeCell ref="C424:C425"/>
    <mergeCell ref="D424:D425"/>
    <mergeCell ref="E424:E425"/>
    <mergeCell ref="F424:F425"/>
    <mergeCell ref="H422:H423"/>
    <mergeCell ref="I422:I423"/>
    <mergeCell ref="G424:G425"/>
    <mergeCell ref="O424:O425"/>
    <mergeCell ref="J424:J425"/>
    <mergeCell ref="N424:N425"/>
    <mergeCell ref="H424:H425"/>
    <mergeCell ref="I424:I425"/>
    <mergeCell ref="G426:G427"/>
    <mergeCell ref="H426:H427"/>
    <mergeCell ref="B426:B427"/>
    <mergeCell ref="C426:C427"/>
    <mergeCell ref="D426:D427"/>
    <mergeCell ref="E426:E427"/>
    <mergeCell ref="O426:O427"/>
    <mergeCell ref="B429:B430"/>
    <mergeCell ref="C429:C430"/>
    <mergeCell ref="D429:D430"/>
    <mergeCell ref="E429:E430"/>
    <mergeCell ref="F429:F430"/>
    <mergeCell ref="N426:N427"/>
    <mergeCell ref="J426:J427"/>
    <mergeCell ref="I426:I427"/>
    <mergeCell ref="F426:F427"/>
    <mergeCell ref="J429:J430"/>
    <mergeCell ref="I429:I430"/>
    <mergeCell ref="G429:G430"/>
    <mergeCell ref="H429:H430"/>
    <mergeCell ref="J431:J432"/>
    <mergeCell ref="H431:H432"/>
    <mergeCell ref="I431:I432"/>
    <mergeCell ref="O429:O430"/>
    <mergeCell ref="B431:B432"/>
    <mergeCell ref="C431:C432"/>
    <mergeCell ref="D431:D432"/>
    <mergeCell ref="E431:E432"/>
    <mergeCell ref="F431:F432"/>
    <mergeCell ref="O431:O432"/>
    <mergeCell ref="N431:N432"/>
    <mergeCell ref="G431:G432"/>
    <mergeCell ref="N429:N430"/>
    <mergeCell ref="O433:O434"/>
    <mergeCell ref="J433:J434"/>
    <mergeCell ref="N433:N434"/>
    <mergeCell ref="B433:B434"/>
    <mergeCell ref="C433:C434"/>
    <mergeCell ref="D433:D434"/>
    <mergeCell ref="E433:E434"/>
    <mergeCell ref="F433:F434"/>
    <mergeCell ref="G433:G434"/>
    <mergeCell ref="C435:C436"/>
    <mergeCell ref="D435:D436"/>
    <mergeCell ref="E435:E436"/>
    <mergeCell ref="H433:H434"/>
    <mergeCell ref="I433:I434"/>
    <mergeCell ref="I435:I436"/>
    <mergeCell ref="F435:F436"/>
    <mergeCell ref="G435:G436"/>
    <mergeCell ref="H435:H436"/>
    <mergeCell ref="O435:O436"/>
    <mergeCell ref="B437:B438"/>
    <mergeCell ref="C437:C438"/>
    <mergeCell ref="D437:D438"/>
    <mergeCell ref="E437:E438"/>
    <mergeCell ref="F437:F438"/>
    <mergeCell ref="N435:N436"/>
    <mergeCell ref="J435:J436"/>
    <mergeCell ref="O437:O438"/>
    <mergeCell ref="B435:B436"/>
    <mergeCell ref="N437:N438"/>
    <mergeCell ref="J437:J438"/>
    <mergeCell ref="I437:I438"/>
    <mergeCell ref="G437:G438"/>
    <mergeCell ref="H437:H438"/>
    <mergeCell ref="J440:J441"/>
    <mergeCell ref="H440:H441"/>
    <mergeCell ref="I440:I441"/>
    <mergeCell ref="D440:D441"/>
    <mergeCell ref="E440:E441"/>
    <mergeCell ref="F440:F441"/>
    <mergeCell ref="O440:O441"/>
    <mergeCell ref="N440:N441"/>
    <mergeCell ref="G440:G441"/>
    <mergeCell ref="H442:H443"/>
    <mergeCell ref="I442:I443"/>
    <mergeCell ref="O442:O443"/>
    <mergeCell ref="J442:J443"/>
    <mergeCell ref="N442:N443"/>
    <mergeCell ref="E442:E443"/>
    <mergeCell ref="F442:F443"/>
    <mergeCell ref="G442:G443"/>
    <mergeCell ref="D446:D447"/>
    <mergeCell ref="D148:D149"/>
    <mergeCell ref="D167:D168"/>
    <mergeCell ref="D191:D192"/>
    <mergeCell ref="D209:D210"/>
    <mergeCell ref="B442:B443"/>
    <mergeCell ref="C442:C443"/>
    <mergeCell ref="D442:D443"/>
    <mergeCell ref="B440:B441"/>
    <mergeCell ref="C440:C441"/>
    <mergeCell ref="H448:H449"/>
    <mergeCell ref="I446:I447"/>
    <mergeCell ref="F446:F447"/>
    <mergeCell ref="G446:G447"/>
    <mergeCell ref="H446:H447"/>
    <mergeCell ref="E446:E447"/>
    <mergeCell ref="G452:G453"/>
    <mergeCell ref="N448:N449"/>
    <mergeCell ref="O446:O447"/>
    <mergeCell ref="B448:B449"/>
    <mergeCell ref="C448:C449"/>
    <mergeCell ref="D448:D449"/>
    <mergeCell ref="E448:E449"/>
    <mergeCell ref="F448:F449"/>
    <mergeCell ref="N446:N447"/>
    <mergeCell ref="J446:J447"/>
    <mergeCell ref="G448:G449"/>
    <mergeCell ref="J452:J453"/>
    <mergeCell ref="H452:H453"/>
    <mergeCell ref="J448:J449"/>
    <mergeCell ref="O448:O449"/>
    <mergeCell ref="B452:B453"/>
    <mergeCell ref="C452:C453"/>
    <mergeCell ref="D452:D453"/>
    <mergeCell ref="E452:E453"/>
    <mergeCell ref="F452:F453"/>
    <mergeCell ref="O452:O453"/>
    <mergeCell ref="N452:N453"/>
    <mergeCell ref="A209:A210"/>
    <mergeCell ref="A211:A212"/>
    <mergeCell ref="A222:A223"/>
    <mergeCell ref="A224:A225"/>
    <mergeCell ref="A228:A230"/>
    <mergeCell ref="A234:A235"/>
    <mergeCell ref="I452:I453"/>
    <mergeCell ref="I448:I449"/>
    <mergeCell ref="D490:D491"/>
    <mergeCell ref="E490:E491"/>
    <mergeCell ref="A267:A268"/>
    <mergeCell ref="A269:A270"/>
    <mergeCell ref="A271:A272"/>
    <mergeCell ref="A273:A274"/>
    <mergeCell ref="A276:A277"/>
    <mergeCell ref="A278:A280"/>
    <mergeCell ref="B446:B447"/>
    <mergeCell ref="C446:C447"/>
    <mergeCell ref="F490:F491"/>
    <mergeCell ref="G490:G491"/>
    <mergeCell ref="H490:H491"/>
    <mergeCell ref="A282:A283"/>
    <mergeCell ref="A286:A287"/>
    <mergeCell ref="A291:A292"/>
    <mergeCell ref="A300:A302"/>
    <mergeCell ref="A303:A304"/>
    <mergeCell ref="B490:B491"/>
    <mergeCell ref="C490:C491"/>
    <mergeCell ref="O490:O491"/>
    <mergeCell ref="B492:B493"/>
    <mergeCell ref="C492:C493"/>
    <mergeCell ref="D492:D493"/>
    <mergeCell ref="E492:E493"/>
    <mergeCell ref="F492:F493"/>
    <mergeCell ref="N490:N491"/>
    <mergeCell ref="J490:J491"/>
    <mergeCell ref="I492:I493"/>
    <mergeCell ref="I490:I491"/>
    <mergeCell ref="G492:G493"/>
    <mergeCell ref="H492:H493"/>
    <mergeCell ref="J492:J493"/>
    <mergeCell ref="I494:I495"/>
    <mergeCell ref="N494:N495"/>
    <mergeCell ref="J494:J495"/>
    <mergeCell ref="O492:O493"/>
    <mergeCell ref="B494:B495"/>
    <mergeCell ref="C494:C495"/>
    <mergeCell ref="D494:D495"/>
    <mergeCell ref="E494:E495"/>
    <mergeCell ref="F494:F495"/>
    <mergeCell ref="G494:G495"/>
    <mergeCell ref="N492:N493"/>
    <mergeCell ref="H494:H495"/>
    <mergeCell ref="O494:O49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3"/>
  <headerFooter alignWithMargins="0">
    <oddHeader>&amp;C&amp;P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Chrascina</dc:creator>
  <cp:keywords/>
  <dc:description/>
  <cp:lastModifiedBy>Administrator</cp:lastModifiedBy>
  <dcterms:created xsi:type="dcterms:W3CDTF">2023-06-26T13:50:19Z</dcterms:created>
  <dcterms:modified xsi:type="dcterms:W3CDTF">2023-07-04T11:37:24Z</dcterms:modified>
  <cp:category/>
  <cp:version/>
  <cp:contentType/>
  <cp:contentStatus/>
</cp:coreProperties>
</file>