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70" yWindow="1200" windowWidth="14460" windowHeight="7425"/>
  </bookViews>
  <sheets>
    <sheet name="celkový" sheetId="3" r:id="rId1"/>
  </sheets>
  <definedNames>
    <definedName name="_xlnm.Print_Area" localSheetId="0">celkový!$B$1:$H$299</definedName>
  </definedNames>
  <calcPr calcId="145621"/>
</workbook>
</file>

<file path=xl/calcChain.xml><?xml version="1.0" encoding="utf-8"?>
<calcChain xmlns="http://schemas.openxmlformats.org/spreadsheetml/2006/main">
  <c r="H299" i="3" l="1"/>
  <c r="H271" i="3"/>
  <c r="H234" i="3"/>
  <c r="H194" i="3"/>
  <c r="H61" i="3"/>
  <c r="H209" i="3"/>
  <c r="H296" i="3" l="1"/>
  <c r="H294" i="3"/>
  <c r="H293" i="3"/>
  <c r="H292" i="3"/>
  <c r="H291" i="3"/>
  <c r="H290" i="3"/>
  <c r="H289" i="3"/>
  <c r="H288" i="3"/>
  <c r="H286" i="3"/>
  <c r="H285" i="3"/>
  <c r="H284" i="3"/>
  <c r="H283" i="3"/>
  <c r="H282" i="3"/>
  <c r="H281" i="3"/>
  <c r="H280" i="3"/>
  <c r="H279" i="3"/>
  <c r="H278" i="3"/>
  <c r="H277" i="3"/>
  <c r="H270" i="3"/>
  <c r="H268" i="3"/>
  <c r="H266" i="3"/>
  <c r="H265" i="3"/>
  <c r="H264" i="3"/>
  <c r="H263" i="3"/>
  <c r="H262" i="3"/>
  <c r="H261" i="3"/>
  <c r="H260" i="3"/>
  <c r="H259" i="3"/>
  <c r="H258" i="3"/>
  <c r="H257" i="3"/>
  <c r="H256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3" i="3"/>
  <c r="H232" i="3"/>
  <c r="H231" i="3"/>
  <c r="H230" i="3"/>
  <c r="H228" i="3"/>
  <c r="H226" i="3"/>
  <c r="H225" i="3"/>
  <c r="H224" i="3"/>
  <c r="H223" i="3"/>
  <c r="H222" i="3"/>
  <c r="H220" i="3"/>
  <c r="H219" i="3"/>
  <c r="H218" i="3"/>
  <c r="H217" i="3"/>
  <c r="H216" i="3"/>
  <c r="H215" i="3"/>
  <c r="H208" i="3"/>
  <c r="H207" i="3"/>
  <c r="H206" i="3"/>
  <c r="H205" i="3"/>
  <c r="H204" i="3"/>
  <c r="H203" i="3"/>
  <c r="H202" i="3"/>
  <c r="H201" i="3"/>
  <c r="H200" i="3"/>
  <c r="H199" i="3"/>
  <c r="H193" i="3"/>
  <c r="H184" i="3"/>
  <c r="H183" i="3"/>
  <c r="H181" i="3"/>
  <c r="H180" i="3"/>
  <c r="H179" i="3"/>
  <c r="H178" i="3"/>
  <c r="H177" i="3"/>
  <c r="H175" i="3"/>
  <c r="H174" i="3"/>
  <c r="H173" i="3"/>
  <c r="H172" i="3"/>
  <c r="H171" i="3"/>
  <c r="H170" i="3"/>
  <c r="H169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7" i="3"/>
  <c r="H146" i="3"/>
  <c r="H145" i="3"/>
  <c r="H144" i="3"/>
  <c r="H143" i="3"/>
  <c r="H142" i="3"/>
  <c r="H141" i="3"/>
  <c r="H140" i="3"/>
  <c r="H139" i="3"/>
  <c r="H136" i="3"/>
  <c r="H135" i="3"/>
  <c r="H134" i="3"/>
  <c r="H133" i="3"/>
  <c r="H132" i="3"/>
  <c r="H131" i="3"/>
  <c r="H130" i="3"/>
  <c r="H128" i="3"/>
  <c r="H129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77" i="3"/>
  <c r="H78" i="3" s="1"/>
  <c r="H72" i="3"/>
  <c r="H71" i="3"/>
  <c r="H70" i="3"/>
  <c r="H69" i="3"/>
  <c r="H68" i="3"/>
  <c r="H67" i="3"/>
  <c r="H66" i="3"/>
  <c r="H65" i="3"/>
  <c r="H64" i="3"/>
  <c r="H63" i="3"/>
  <c r="H73" i="3" s="1"/>
  <c r="H62" i="3"/>
  <c r="F70" i="3"/>
  <c r="F72" i="3" l="1"/>
  <c r="D25" i="3"/>
  <c r="F61" i="3"/>
  <c r="F67" i="3"/>
  <c r="F66" i="3"/>
  <c r="F65" i="3"/>
  <c r="F64" i="3"/>
  <c r="F63" i="3"/>
  <c r="F62" i="3"/>
  <c r="D28" i="3"/>
  <c r="F298" i="3"/>
  <c r="H298" i="3" s="1"/>
  <c r="F233" i="3"/>
  <c r="F270" i="3"/>
  <c r="F230" i="3"/>
  <c r="F231" i="3" s="1"/>
  <c r="F232" i="3" s="1"/>
  <c r="F71" i="3" l="1"/>
  <c r="F69" i="3"/>
  <c r="F68" i="3"/>
  <c r="H25" i="3" l="1"/>
  <c r="F207" i="3"/>
  <c r="F206" i="3"/>
  <c r="F204" i="3"/>
  <c r="F205" i="3"/>
  <c r="F201" i="3"/>
  <c r="F208" i="3" l="1"/>
  <c r="F200" i="3"/>
  <c r="F202" i="3" l="1"/>
  <c r="F203" i="3" l="1"/>
  <c r="H28" i="3" s="1"/>
  <c r="D31" i="3" l="1"/>
  <c r="F296" i="3"/>
  <c r="F293" i="3"/>
  <c r="F290" i="3"/>
  <c r="F289" i="3"/>
  <c r="F288" i="3"/>
  <c r="F284" i="3"/>
  <c r="F282" i="3"/>
  <c r="F279" i="3"/>
  <c r="F278" i="3"/>
  <c r="F277" i="3"/>
  <c r="F268" i="3"/>
  <c r="F266" i="3"/>
  <c r="F261" i="3"/>
  <c r="F265" i="3" s="1"/>
  <c r="F258" i="3"/>
  <c r="F259" i="3" s="1"/>
  <c r="F257" i="3"/>
  <c r="F256" i="3"/>
  <c r="F250" i="3"/>
  <c r="F249" i="3"/>
  <c r="F248" i="3"/>
  <c r="F253" i="3" s="1"/>
  <c r="F245" i="3"/>
  <c r="F242" i="3"/>
  <c r="F243" i="3" s="1"/>
  <c r="F244" i="3" s="1"/>
  <c r="F241" i="3"/>
  <c r="F240" i="3"/>
  <c r="F228" i="3"/>
  <c r="F224" i="3"/>
  <c r="F225" i="3" s="1"/>
  <c r="F226" i="3" s="1"/>
  <c r="F223" i="3"/>
  <c r="F222" i="3"/>
  <c r="F220" i="3"/>
  <c r="F217" i="3"/>
  <c r="F218" i="3" s="1"/>
  <c r="F219" i="3" s="1"/>
  <c r="F215" i="3"/>
  <c r="F216" i="3"/>
  <c r="F131" i="3"/>
  <c r="F291" i="3" l="1"/>
  <c r="F264" i="3"/>
  <c r="F294" i="3"/>
  <c r="F292" i="3"/>
  <c r="F285" i="3"/>
  <c r="F280" i="3"/>
  <c r="F281" i="3" s="1"/>
  <c r="F286" i="3"/>
  <c r="F260" i="3"/>
  <c r="F254" i="3"/>
  <c r="F246" i="3"/>
  <c r="F251" i="3" l="1"/>
  <c r="F252" i="3"/>
  <c r="H31" i="3" l="1"/>
  <c r="F127" i="3"/>
  <c r="F126" i="3"/>
  <c r="F117" i="3"/>
  <c r="F118" i="3"/>
  <c r="D27" i="3"/>
  <c r="F110" i="3"/>
  <c r="F130" i="3" l="1"/>
  <c r="F133" i="3" l="1"/>
  <c r="F132" i="3"/>
  <c r="F115" i="3"/>
  <c r="F114" i="3"/>
  <c r="F113" i="3"/>
  <c r="F112" i="3"/>
  <c r="F111" i="3"/>
  <c r="F128" i="3" l="1"/>
  <c r="F129" i="3"/>
  <c r="F109" i="3"/>
  <c r="F106" i="3"/>
  <c r="F105" i="3"/>
  <c r="F96" i="3" l="1"/>
  <c r="F87" i="3" s="1"/>
  <c r="F97" i="3"/>
  <c r="F88" i="3" s="1"/>
  <c r="F103" i="3"/>
  <c r="F101" i="3"/>
  <c r="F92" i="3" s="1"/>
  <c r="F102" i="3"/>
  <c r="F93" i="3" s="1"/>
  <c r="F98" i="3"/>
  <c r="F89" i="3" s="1"/>
  <c r="F100" i="3"/>
  <c r="F91" i="3" s="1"/>
  <c r="F94" i="3" l="1"/>
  <c r="F107" i="3"/>
  <c r="F104" i="3" l="1"/>
  <c r="F108" i="3" s="1"/>
  <c r="F125" i="3"/>
  <c r="F83" i="3"/>
  <c r="F82" i="3"/>
  <c r="D21" i="3"/>
  <c r="H148" i="3"/>
  <c r="H176" i="3"/>
  <c r="H185" i="3"/>
  <c r="H186" i="3"/>
  <c r="H187" i="3"/>
  <c r="H188" i="3"/>
  <c r="H189" i="3"/>
  <c r="H190" i="3"/>
  <c r="H191" i="3"/>
  <c r="F170" i="3"/>
  <c r="F120" i="3" s="1"/>
  <c r="F124" i="3" l="1"/>
  <c r="F95" i="3"/>
  <c r="F99" i="3"/>
  <c r="F84" i="3"/>
  <c r="F90" i="3" l="1"/>
  <c r="D24" i="3"/>
  <c r="D26" i="3"/>
  <c r="D29" i="3"/>
  <c r="D30" i="3"/>
  <c r="H56" i="3"/>
  <c r="H57" i="3" l="1"/>
  <c r="H24" i="3" s="1"/>
  <c r="H26" i="3"/>
  <c r="F135" i="3"/>
  <c r="F116" i="3"/>
  <c r="H29" i="3" l="1"/>
  <c r="F123" i="3"/>
  <c r="F134" i="3"/>
  <c r="H27" i="3" l="1"/>
  <c r="H30" i="3" l="1"/>
  <c r="G34" i="3" l="1"/>
  <c r="F37" i="3" s="1"/>
</calcChain>
</file>

<file path=xl/sharedStrings.xml><?xml version="1.0" encoding="utf-8"?>
<sst xmlns="http://schemas.openxmlformats.org/spreadsheetml/2006/main" count="569" uniqueCount="207">
  <si>
    <t>m2</t>
  </si>
  <si>
    <t>ks</t>
  </si>
  <si>
    <t>t</t>
  </si>
  <si>
    <t>Specifikace</t>
  </si>
  <si>
    <t>MJ</t>
  </si>
  <si>
    <t>množství</t>
  </si>
  <si>
    <t>Rostlinný materiál</t>
  </si>
  <si>
    <t>velikost</t>
  </si>
  <si>
    <t>celkem bez DPH</t>
  </si>
  <si>
    <t>m3</t>
  </si>
  <si>
    <t>poř.č.</t>
  </si>
  <si>
    <t>jedn. Cena</t>
  </si>
  <si>
    <t>R</t>
  </si>
  <si>
    <t>Celkem za dílo bez DPH</t>
  </si>
  <si>
    <t>kg</t>
  </si>
  <si>
    <t>Mulčovací kůra drcená, vrstva 0,1m</t>
  </si>
  <si>
    <t>Následná péče po dobu 1. roku</t>
  </si>
  <si>
    <t>Vypracovala: Ing. Kateřina Černohorská</t>
  </si>
  <si>
    <t>CIBULOVINY</t>
  </si>
  <si>
    <t>KEŘE</t>
  </si>
  <si>
    <t>Rekapitulace</t>
  </si>
  <si>
    <t>l</t>
  </si>
  <si>
    <t>m</t>
  </si>
  <si>
    <t>K9</t>
  </si>
  <si>
    <t>Následná péče po dobu 2. roku</t>
  </si>
  <si>
    <t>Herbicid (10l/ha)</t>
  </si>
  <si>
    <t>Celkem za dílo s 21% DPH</t>
  </si>
  <si>
    <t>Dovoz vody pro zálivku - příplatek za dalších 4000 m</t>
  </si>
  <si>
    <t>Stromy</t>
  </si>
  <si>
    <t>Keře</t>
  </si>
  <si>
    <t>Celkem za následnou péči po dobu 1. roku bez DPH</t>
  </si>
  <si>
    <t>Umělé hnojivo</t>
  </si>
  <si>
    <t>Celkem za následnou péči po dobu 2. roku bez DPH</t>
  </si>
  <si>
    <t>Následná péče po dobu 3. roku</t>
  </si>
  <si>
    <t>Celkem za následnou péči po dobu 3. roku bez DPH</t>
  </si>
  <si>
    <t xml:space="preserve">Oprava a doplnění kůlů při 10% </t>
  </si>
  <si>
    <t>Vytyčení inženýrských sítí dle PD</t>
  </si>
  <si>
    <t>Magnolia kobus</t>
  </si>
  <si>
    <t>16-18, ZB</t>
  </si>
  <si>
    <t>Acer platanoides</t>
  </si>
  <si>
    <t>Corylus avellana</t>
  </si>
  <si>
    <t>14-16, ZB</t>
  </si>
  <si>
    <t>200-250, ZB</t>
  </si>
  <si>
    <t>bal</t>
  </si>
  <si>
    <t xml:space="preserve">Hnojivo tabletované 0,01kg </t>
  </si>
  <si>
    <t>Hydroabsorbent např.typu Hydrogel</t>
  </si>
  <si>
    <t>Protikořenová fólie o š.750mm</t>
  </si>
  <si>
    <t>Instalace ochranného plotu z dřevěných kůlů 1,5m a prům. 70mm, vč. Provrtání kůlů a protažení 3 pater drátěného lana, materiál vč. Dodávky</t>
  </si>
  <si>
    <t>Zhotovení ochranného bílého nátěru kmene, v jedné vrstvě, elastickým nátěrem pastové konzistence</t>
  </si>
  <si>
    <t>Výsadba stromů a keřů a cibulovin</t>
  </si>
  <si>
    <t>STROMY</t>
  </si>
  <si>
    <t>Alnus glutinosa</t>
  </si>
  <si>
    <t>Alnus incana</t>
  </si>
  <si>
    <t>Acer pseudoplatanus</t>
  </si>
  <si>
    <t>Betula pendula</t>
  </si>
  <si>
    <t>Carpinus betulus 'Fastigiata'</t>
  </si>
  <si>
    <t>Fagus sylvatica 'Atropunicea'</t>
  </si>
  <si>
    <t>Fagus sylvatica 'Rohanii'</t>
  </si>
  <si>
    <t>Malus 'Professor Sprenger'</t>
  </si>
  <si>
    <t>Platanus x acerifolia 'Pyramidalis'</t>
  </si>
  <si>
    <t>Prunus padus</t>
  </si>
  <si>
    <t>Prunus avium 'Plena'</t>
  </si>
  <si>
    <t>Prunus x schmittii</t>
  </si>
  <si>
    <t>Prunus x yedoensis</t>
  </si>
  <si>
    <t>Qurcus robur</t>
  </si>
  <si>
    <t>Quercus frainetto</t>
  </si>
  <si>
    <t>Salix alba 'Tristis'</t>
  </si>
  <si>
    <t>Tilia platyphyllos 'Fastigiata'</t>
  </si>
  <si>
    <t>Tilia platyphyllos 'Rubra'</t>
  </si>
  <si>
    <t>Ulmus 'Lobel'</t>
  </si>
  <si>
    <t>Cornus alba 'Sibirica'</t>
  </si>
  <si>
    <t>Forsythia intermedia 'Goldrausch'</t>
  </si>
  <si>
    <t>Forsythia intermedia 'Week End'</t>
  </si>
  <si>
    <t>Perovskia atriplicif. 'Silvery Blue'</t>
  </si>
  <si>
    <t>Rosa rugosa, bílá</t>
  </si>
  <si>
    <t>Rosa rugosa 'Rubra'</t>
  </si>
  <si>
    <t>Spiraea x arguta</t>
  </si>
  <si>
    <t>Staphylea pinnata</t>
  </si>
  <si>
    <t>Syringa vulgaris 'Charles Joly'</t>
  </si>
  <si>
    <t>Syringa vulgaris 'Mme Lemoine'</t>
  </si>
  <si>
    <t>TRVALKY (pro obnovu 2m2)</t>
  </si>
  <si>
    <t>Anemone sylvestris</t>
  </si>
  <si>
    <t>Aster dumosus 'Blaue Lagune'</t>
  </si>
  <si>
    <t>Dianthus deltoides</t>
  </si>
  <si>
    <t>Echinacea purpurea 'Magnus'</t>
  </si>
  <si>
    <t>Nepeta x faassenii</t>
  </si>
  <si>
    <t>Origanum vulgare compactum</t>
  </si>
  <si>
    <t>Prunella grandiflora</t>
  </si>
  <si>
    <t>Pulsatilla vulgaris 'Blaue Glocke'</t>
  </si>
  <si>
    <t>Rudbeckia fulgida 'Goldsturm'</t>
  </si>
  <si>
    <t>Allium aflatunense Purple Sensation</t>
  </si>
  <si>
    <t>12-14, ZB</t>
  </si>
  <si>
    <t>10-12, 160 KM, ZB</t>
  </si>
  <si>
    <t>120+</t>
  </si>
  <si>
    <t>100+</t>
  </si>
  <si>
    <t>30-40</t>
  </si>
  <si>
    <t>20-30</t>
  </si>
  <si>
    <t>50+</t>
  </si>
  <si>
    <t>40-60</t>
  </si>
  <si>
    <t>80-100</t>
  </si>
  <si>
    <t>jabloň - záchranný sortiment  dle SPPK C02 003:2016 (každý strom jiná odrůda - prioritně: 'Panenské české', 'Sudetská reneta', přijatelné: 'Ontario', 'Parména zlatá', 'Průsvitné letní', 'Malinové holovouské')</t>
  </si>
  <si>
    <t>hrušeň - záchranný sortiment  dle SPPK C02 003:2016 (každý strom jiná odrůda - přijatelné: 'Boscova Lahvice', 'Clappova', Pařížanka')</t>
  </si>
  <si>
    <t>Cenová hladina dle katalogu URS 2020</t>
  </si>
  <si>
    <t>Datum: duben 2020</t>
  </si>
  <si>
    <t>NÁHRADNÍ VÝSADBY V ROCE 2020, TŘINEC</t>
  </si>
  <si>
    <t>POLOŽKOVÝ ROZPOČET</t>
  </si>
  <si>
    <t xml:space="preserve">Chemické odplevelení před založením kultury nad 20 m2 postřikem na široko ve svahu do 1:1, M5.1+M5.2+M5.3+M12 (22+14+24+40) </t>
  </si>
  <si>
    <t>Založení záhonu v rovině a svahu do 1:5 na starém záhonu</t>
  </si>
  <si>
    <t>Ochrana stromu protikořenovou clonou v rovině nebo na svahu do 1:5 hloubky do 700 mm, PK1.1+PK3.1+PK4.1+PK5.1+PK5.2+PK8.1+PK12.1+PK13.1+PK13.2+PK14.1+PK14.2+PK14.3+PK14.4+PK14.5 / 1bm</t>
  </si>
  <si>
    <t>Výsadba dřeviny s balem D do 0,6 m do jamky se zalitím v rovině a svahu do 1:5</t>
  </si>
  <si>
    <t>Výsadba dřeviny s balem D do 0,6 m do jamky se zalitím ve svahu do 1:1</t>
  </si>
  <si>
    <t>Výsadba dřeviny s balem D do 0,5 m do jamky se zalitím v rovině a svahu do 1:5</t>
  </si>
  <si>
    <t>Výsadba dřeviny s balem D do 0,5 m do jamky se zalitím ve svahu do 1:1</t>
  </si>
  <si>
    <t>Výsadba dřeviny s balem D do 0,4 m do jamky se zalitím v rovině a svahu do 1:5</t>
  </si>
  <si>
    <t>Výsadba dřeviny s balem D do 0,2 m do jamky se zalitím v rovině a svahu do 1:5</t>
  </si>
  <si>
    <t>K2</t>
  </si>
  <si>
    <t>Výsadba dřeviny s balem D do 0,2 m do jamky se zalitím ve svahu do 1:1</t>
  </si>
  <si>
    <t>Výsadba květin hrnkových D květináče do 120 mm</t>
  </si>
  <si>
    <t>Výsadba cibulí nebo hlíz</t>
  </si>
  <si>
    <t>Hloubení jamek bez výměny půdy zeminy tř 1 až 4 objem do 0,002 m3 v rovině a svahu do 1:5</t>
  </si>
  <si>
    <t>Jamky pro výsadbu s výměnou 50 % půdy zeminy tř 1 až 4 objem do 0,02 m3 v rovině a svahu do 1:5</t>
  </si>
  <si>
    <t>Jamky pro výsadbu s výměnou 50 % půdy zeminy tř 1 až 4 objem do 0,4 m3 v rovině a svahu do 1:5</t>
  </si>
  <si>
    <t>Jamky pro výsadbu s výměnou 50 % půdy zeminy tř 1 až 4 objem do 0,125 m3 v rovině a svahu do 1:5</t>
  </si>
  <si>
    <t>Hloubení jamek s výměnou 50 % půdy zeminy tř 1 až 4 objem do 0,02 m3 ve svahu do 1:1</t>
  </si>
  <si>
    <t>Hloubení jamek s výměnou 50 % půdy zeminy tř 1 až 4 objem do 0,4 m3 ve svahu do 1:1</t>
  </si>
  <si>
    <t>Jamky pro výsadbu s výměnou 50 % půdy zeminy tř 1 až 4 objem do 1 m3 v rovině a svahu do 1:5</t>
  </si>
  <si>
    <t>Hloubení jamek s výměnou 50 % půdy zeminy tř 1 až 4 objem do 1 m3 ve svahu do 1:1</t>
  </si>
  <si>
    <t>Ukotvení kmene dřevin jedním kůlem D do 0,1 m délky do 3 m (ovocné stromy L16)</t>
  </si>
  <si>
    <t>Ukotvení kmene dřevin třemi kůly D do 0,1 m délky do 3 m</t>
  </si>
  <si>
    <t xml:space="preserve">Zhotovení závlahové mísy dřevin D do 1,0 m v rovině nebo na svahu do 1:5 </t>
  </si>
  <si>
    <t>Zhotovení závlahové mísy dřevin D do 1,0 m na svahu do 1:1</t>
  </si>
  <si>
    <t>Celkem za výsadbu stromů a keřů včetně materiálu bez DPH</t>
  </si>
  <si>
    <t>Hnojení půdy umělým hnojivem k jednotlivým rostlinám v rovině a svahu do 1:5 (10tb./strom, 2tbl./keř) (55*10+372*2)*10*0,001*0,001</t>
  </si>
  <si>
    <t>Hnojení půdy umělým hnojivem k jednotlivým rostlinám ve svahu do 1:1 (10tb./strom, 2tbl./keř) (5*10+100*2)*10*0,001*0,001</t>
  </si>
  <si>
    <t>Hnojení půdy umělým hnojivem k jednotlivým rostlinám v rovině a svahu do 1:5, Hydroabsorbent např.typu Hydrogel (cca 300gr/vysazený strom, cca 60gr/vysazený keř) (55*300+372*60)*0,001*0,001</t>
  </si>
  <si>
    <t>Hnojení půdy umělým hnojivem k jednotlivým rostlinám ve svahu do 1:1, Hydroabsorbent např.typu Hydrogel (cca 300gr/vysazený strom, cca 60gr/vysazený keř) (5*300+100*60)*0,001*0,001</t>
  </si>
  <si>
    <t>Dovoz vody pro zálivku rostlin za vzdálenost do 1000 m (100 l/strom, 20l/keř, 5l/trvalka) (60*0,1+472*0,02+18*0,005)</t>
  </si>
  <si>
    <t>Kůl 2,5m prům. 70 mm (54*3)+6</t>
  </si>
  <si>
    <t>Příčky 6ks/strom (54*6)</t>
  </si>
  <si>
    <t>Vázací tkaný popruh š. 35mm (54*3)+6</t>
  </si>
  <si>
    <t>Instalace chráničky kmene proti poškození strun.sekačkou (pro soliterní stromy bez L15B)</t>
  </si>
  <si>
    <t>Chránička kmene proti poškození strunovou sekačkou (pro soliterní stromy bez L15B)</t>
  </si>
  <si>
    <t>Mulčování rostlin kůrou tl. do 0,1 m ve svahu do 1:1</t>
  </si>
  <si>
    <t>Mulčování rostlin kůrou tl. do 0,1 m ve svahu do 1:1, solitér.stromy+keře (5*3,14*0,5*0,5)+100</t>
  </si>
  <si>
    <t>Mulčování rostlin kůrou tl. do 0,1 m v rovině a svahu do 1:5, solitér.stromy+keře (55*3,14*0,5*0,5)+208</t>
  </si>
  <si>
    <t>Zahradnický substrát pro výměnu v jamkách  (45*1*0,5)+(15*0,4*0,5)+(12*0,125*0,5)+(460*0,02*0,5)</t>
  </si>
  <si>
    <t>Mulčování záhonů kačírkem tl. vrstvy do 0,1 m v rovině a svahu do 1:5, T2.1=2m2</t>
  </si>
  <si>
    <t>Ostrohranný štěrk DK 8/16 šedozelené barvy, pro T2.1, vrstva 7cm (2*0,07)</t>
  </si>
  <si>
    <t>Přesun hmot pro sadovnické a krajinářské úpravy vodorovně do 5000 m</t>
  </si>
  <si>
    <t>Vypletí záhonu dřevin soliterních s naložením a odvozem odpadu do 20 km ve svahu do 1:1 (3x) (3*5*3,15*0,5*0,5)</t>
  </si>
  <si>
    <t>Vypletí záhonu dřevin soliterních s naložením a odvozem odpadu do 20 km v rovině a svahu do 1:5 (3x) (3*55*3,15*0,5*0,5)</t>
  </si>
  <si>
    <t>Zalití rostlin vodou plocha přes 20 m2 (10x 100 l / strom)</t>
  </si>
  <si>
    <t xml:space="preserve">Dovoz vody pro zálivku rostlin za vzdálenost do 1000 m </t>
  </si>
  <si>
    <t>Kontrola kotvení a znovuuvázání dřeviny ke kůlům při 10% (60*3*0,1)</t>
  </si>
  <si>
    <t>Vypletí záhonu dřevin ve skupinách s naložením a odvozem odpadu do 20 km v rovině a svahu do 1:5 (3x)   (208*3)</t>
  </si>
  <si>
    <t>Vypletí záhonu dřevin ve skupinách s naložením a odvozem odpadu do 20 km ve svahu do 1:1 (3x)   (100*3)</t>
  </si>
  <si>
    <t xml:space="preserve"> Zalití rostlin vodou plocha přes 20 m2 (10x 20 l / m2 ) (208+100)*10*20/1000</t>
  </si>
  <si>
    <t>Odstranění odkvetlých a odumřelých částí letniček, cibulovin s odklizením odpadu do 20 km - cibulovin M7.2+M7.3+M7.5+M7.6 (13+13+13+13)</t>
  </si>
  <si>
    <t>Cibuloviny</t>
  </si>
  <si>
    <t>Řez stromu výchovný alejových stromů výšky přes 4 do 6 m</t>
  </si>
  <si>
    <t>Hnojení půdy umělým hnojivem k jednotlivým rostlinám v rovině a svahu do 1:5 (100g/strom) (60*100)*0,001*0,001</t>
  </si>
  <si>
    <t>Mulčování rostlin kůrou tl. do 0,1 m v rovině a svahu do 1:5, solitér.stromy (55*3,14*0,5*0,5)</t>
  </si>
  <si>
    <t>Mulčování rostlin kůrou tl. do 0,1 m ve svahu do 1:1, solitér.stromy (5*3,14*0,5*0,5)</t>
  </si>
  <si>
    <t>Kůl 2,5m prům. 70 mm</t>
  </si>
  <si>
    <t>Mulčovací kůra drcená  (doplnění 10cm)</t>
  </si>
  <si>
    <t>Hnojení půdy umělým hnojivem k jednotlivým rostlinám v rovině a svahu do 1:5 (20g/m2) (308*20)*0,001*0,001</t>
  </si>
  <si>
    <t>Mulčování rostlin kůrou tl. do 0,1 m v rovině a svahu do 1:5</t>
  </si>
  <si>
    <t>Odstranění ukotvení kmene dřevin třemi kůly D do 0,1 m délky do 3 m</t>
  </si>
  <si>
    <t>Hloubení jamek bez výměny půdy zeminy tř 1 až 4 objem do 0,01 m3 v rovině a svahu do 1:5 (trvalky T2.1)</t>
  </si>
  <si>
    <t>Založení štěrkového záhonu pro výsadbu trvalek v rovině nebo ve svahu do 1:5 v zemině tř. 1 až 4, (nová vrstva 18cm substrát + 7cm štěrkový mulč), T2.1=2m2</t>
  </si>
  <si>
    <t xml:space="preserve">Substrát pro výměnu trvalk. Záhonu T2.1.,typ: svrchní vrstva půdy + písek 1:1, vrstva 0,18m (2*0,18) </t>
  </si>
  <si>
    <t>Rozprostření ornice tl vrstvy do 200 mm pl do 500 m2 v rovině nebo ve svahu do 1:5 strojně</t>
  </si>
  <si>
    <t>Obdělání půdy hrabáním v rovině a svahu do 1:5 - 2x</t>
  </si>
  <si>
    <t>Obdělání půdy válením v rovině a svahu do 1:5 - 2x</t>
  </si>
  <si>
    <t>Založení lučního trávníku výsevem plochy do 1000 m2 v rovině a ve svahu do 1:5</t>
  </si>
  <si>
    <t xml:space="preserve">R </t>
  </si>
  <si>
    <t>Obdělání půdy kultivátorováním v rovině a svahu do 1:5 - 2x</t>
  </si>
  <si>
    <t xml:space="preserve">Nástřik výsevu Hydroosevem. Cena vč. Přidání zlepšujících látek: papírovoslámového mulčovacího materiálu, gelu pro uchování vlhkosti, půdního fixátoru pro hydroosev a tekutého biostimulátoru pro rychlejší klíčení a růst </t>
  </si>
  <si>
    <t>Chemické odplevelení půdy před založením postřikem, v rovině (TL16)</t>
  </si>
  <si>
    <t>Trávníkový substrát včetně dovozu, vrstva 40mm (383*0,04)</t>
  </si>
  <si>
    <t>Květná louka (TL16)</t>
  </si>
  <si>
    <t>Celkem za založení květné louky (TL16) včetně materiálu bez DPH</t>
  </si>
  <si>
    <t>Pokosení trávníku lučního plochy do 1000 m2 s odvozem do 20 km v rovině a svahu do 1:5 - 2 seče (383*2)</t>
  </si>
  <si>
    <t>Zalití rostlin vodou plocha přes 20 m2 (5 x 20 l / m2 ) (383*5*0,02)</t>
  </si>
  <si>
    <t>Odstranění pařezů</t>
  </si>
  <si>
    <t>Celkem za odstranění pařezů bez DPH</t>
  </si>
  <si>
    <t>Odstranění pařezů na svahu do 1:1 odfrézováním do hloubky 0,2 m, prům do 40cm, P5.3</t>
  </si>
  <si>
    <t>Odstranění pařezů na svahu do 1:1 odfrézováním do hloubky 0,2 m, prům do 50cm, P5.4+P5.5+P5.6+P12.1</t>
  </si>
  <si>
    <t>Odstranění pařezů na svahu do 1:1 odfrézováním do hloubky 0,2 m, prům do 60cm, P5.2+P5.9+P5.10+P5.11</t>
  </si>
  <si>
    <t>Odstranění pařezů na svahu do 1:1 odfrézováním do hloubky 0,2 m, prům do 70cm, P5.1</t>
  </si>
  <si>
    <t>Odstranění pařezů na svahu do 1:1 odfrézováním do hloubky 0,2 m, prům do 80cm, P5.7</t>
  </si>
  <si>
    <t>Odstranění pařezů na svahu do 1:1 odfrézováním do hloubky 0,2 m, prům do 130cm, P12.2</t>
  </si>
  <si>
    <t>Odstranění pařezů rovině nebo na svahu do 1:5 odfrézováním do hloubky 0,2 m, prům do 80cm, P5.8</t>
  </si>
  <si>
    <t>Odstranění vyfrézované dřevní hmoty hloubky do 0,2, odvoz na skládku , vč. Skládkovného odpadu</t>
  </si>
  <si>
    <t>Zásyp jam po vyfrézovaných pařezech hloubky do 0,2 m v rovině nebo na svahu do 1:5</t>
  </si>
  <si>
    <t>Zásyp jam po vyfrézovaných pařezech hloubky do 0,2 m na svahu do 1:1</t>
  </si>
  <si>
    <t xml:space="preserve">Substrát pro zásyp jam po pařezech,typ: svrchní vrstva půdy, vrstva 0,2m (4,25+0,5)*0,2 </t>
  </si>
  <si>
    <t>Vytyčení inženýrských sítí</t>
  </si>
  <si>
    <t>Celkem za vytyčení inženýrských sítí bez DPH</t>
  </si>
  <si>
    <t xml:space="preserve">Ochranný plot pro L9 </t>
  </si>
  <si>
    <t>Celkem za ochranný plot pro L9 bez DPH</t>
  </si>
  <si>
    <t>Zpětný řez netrnitých keřů po výsadbě výšky do 1 m</t>
  </si>
  <si>
    <t>Zpětný řez trnitých keřů po výsadbě výšky do 1 m</t>
  </si>
  <si>
    <t>Řez stromů netrnitých řezem na čípek D koruny do 4 m</t>
  </si>
  <si>
    <t>Speciální elastický nátěr bílé barvy, životnosti cca 5 let, "rostoucí s kmínkem", nejedovatý, ekologicky odbouratelný např. typu Lac Balsam (100gr/strom) (mimo 2 břízy a Fag.sylv.'Rohanii')</t>
  </si>
  <si>
    <t>Osivo, Květná louka do sucha pro náročné NAPŘ. SLUNOVRAT: Trávy 70%, Byliny 28,2%, Jeteloviny 1,8% (6g/m2)</t>
  </si>
  <si>
    <t>Chemické odplevelení před založením kultury nad 20 m2 postřikem na široko v rovině a svahu do 1:5, M4.1+M4.2+M6.1+M6.2+M7.1+M7.2+M7.3+M7.4+M7.5+M7.6+M7.7+M7.8+M.9 (34+34+12+4+9+13+13+12+13+13+8+3+40)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</si>
</sst>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000"/>
    <numFmt numFmtId="165" formatCode="#,##0.0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u/>
      <sz val="2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 Light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C00000"/>
      <name val="Calibri Light"/>
      <family val="2"/>
      <charset val="238"/>
    </font>
    <font>
      <sz val="10"/>
      <color rgb="FFC00000"/>
      <name val="Calibri Light"/>
      <family val="2"/>
      <charset val="238"/>
    </font>
    <font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right" vertical="center"/>
    </xf>
    <xf numFmtId="44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4" fontId="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44" fontId="18" fillId="0" borderId="0" xfId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3" fillId="0" borderId="2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4" fontId="12" fillId="0" borderId="0" xfId="0" applyNumberFormat="1" applyFont="1" applyFill="1" applyBorder="1" applyAlignment="1">
      <alignment horizontal="center" wrapText="1"/>
    </xf>
    <xf numFmtId="44" fontId="7" fillId="0" borderId="0" xfId="0" applyNumberFormat="1" applyFont="1" applyFill="1" applyBorder="1" applyAlignment="1">
      <alignment horizontal="center" wrapText="1"/>
    </xf>
    <xf numFmtId="44" fontId="15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left" vertical="center"/>
    </xf>
    <xf numFmtId="44" fontId="17" fillId="0" borderId="0" xfId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44" fontId="19" fillId="0" borderId="0" xfId="1" applyFont="1" applyFill="1" applyBorder="1"/>
    <xf numFmtId="0" fontId="17" fillId="0" borderId="0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44" fontId="24" fillId="0" borderId="1" xfId="1" applyFont="1" applyFill="1" applyBorder="1" applyAlignment="1">
      <alignment horizontal="right" vertical="center"/>
    </xf>
    <xf numFmtId="44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wrapText="1"/>
    </xf>
    <xf numFmtId="44" fontId="8" fillId="0" borderId="0" xfId="0" applyNumberFormat="1" applyFont="1" applyFill="1" applyBorder="1" applyAlignment="1">
      <alignment horizontal="center" vertical="center"/>
    </xf>
    <xf numFmtId="44" fontId="10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07"/>
  <sheetViews>
    <sheetView tabSelected="1" view="pageBreakPreview" zoomScale="130" zoomScaleNormal="110" zoomScaleSheetLayoutView="130" workbookViewId="0">
      <selection activeCell="H300" sqref="H300"/>
    </sheetView>
  </sheetViews>
  <sheetFormatPr defaultRowHeight="13.5" customHeight="1" x14ac:dyDescent="0.2"/>
  <cols>
    <col min="1" max="1" width="7.7109375" style="6" customWidth="1"/>
    <col min="2" max="2" width="5.42578125" style="11" customWidth="1"/>
    <col min="3" max="3" width="11.28515625" style="3" customWidth="1"/>
    <col min="4" max="4" width="54.85546875" style="14" customWidth="1"/>
    <col min="5" max="5" width="4.28515625" style="11" customWidth="1"/>
    <col min="6" max="6" width="9.7109375" style="18" customWidth="1"/>
    <col min="7" max="7" width="9.7109375" style="24" customWidth="1"/>
    <col min="8" max="8" width="15.140625" style="21" customWidth="1"/>
    <col min="9" max="9" width="14.5703125" style="6" bestFit="1" customWidth="1"/>
    <col min="10" max="10" width="13.7109375" style="2" bestFit="1" customWidth="1"/>
    <col min="11" max="11" width="23.85546875" style="2" customWidth="1"/>
    <col min="12" max="12" width="12.28515625" style="2" bestFit="1" customWidth="1"/>
    <col min="13" max="13" width="13.140625" style="2" customWidth="1"/>
    <col min="14" max="14" width="12.140625" style="2" bestFit="1" customWidth="1"/>
    <col min="15" max="15" width="20.140625" style="2" customWidth="1"/>
    <col min="16" max="16384" width="9.140625" style="2"/>
  </cols>
  <sheetData>
    <row r="1" spans="1:256" ht="18" customHeight="1" x14ac:dyDescent="0.3">
      <c r="A1" s="100"/>
      <c r="B1" s="123" t="s">
        <v>104</v>
      </c>
      <c r="C1" s="123"/>
      <c r="D1" s="123"/>
      <c r="E1" s="123"/>
      <c r="F1" s="123"/>
      <c r="G1" s="123"/>
      <c r="H1" s="123"/>
      <c r="I1" s="101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256" ht="18" customHeight="1" x14ac:dyDescent="0.3">
      <c r="A2" s="100"/>
      <c r="B2" s="123" t="s">
        <v>105</v>
      </c>
      <c r="C2" s="123"/>
      <c r="D2" s="123"/>
      <c r="E2" s="123"/>
      <c r="F2" s="123"/>
      <c r="G2" s="123"/>
      <c r="H2" s="123"/>
      <c r="I2" s="101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pans="1:256" ht="15" customHeight="1" x14ac:dyDescent="0.3">
      <c r="A3" s="100"/>
      <c r="B3" s="103"/>
      <c r="C3" s="103"/>
      <c r="D3" s="103"/>
      <c r="E3" s="104"/>
      <c r="F3" s="104"/>
      <c r="G3" s="104"/>
      <c r="H3" s="102"/>
      <c r="I3" s="80"/>
      <c r="J3" s="102"/>
      <c r="K3" s="105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pans="1:256" ht="15" customHeight="1" x14ac:dyDescent="0.3">
      <c r="A4" s="100"/>
      <c r="B4" s="103"/>
      <c r="C4" s="103"/>
      <c r="D4" s="103"/>
      <c r="E4" s="104"/>
      <c r="F4" s="104"/>
      <c r="G4" s="104"/>
      <c r="H4" s="102"/>
      <c r="I4" s="80"/>
      <c r="J4" s="102"/>
      <c r="K4" s="105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ht="15" customHeight="1" x14ac:dyDescent="0.3">
      <c r="A5" s="100"/>
      <c r="B5" s="103"/>
      <c r="C5" s="103"/>
      <c r="D5" s="103"/>
      <c r="E5" s="104"/>
      <c r="F5" s="104"/>
      <c r="G5" s="104"/>
      <c r="H5" s="102"/>
      <c r="I5" s="80"/>
      <c r="J5" s="102"/>
      <c r="K5" s="105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ht="15" customHeight="1" x14ac:dyDescent="0.2">
      <c r="A6" s="73"/>
      <c r="B6" s="106" t="s">
        <v>102</v>
      </c>
      <c r="C6" s="73"/>
      <c r="D6" s="106"/>
      <c r="E6" s="72"/>
      <c r="F6" s="107"/>
      <c r="G6" s="108"/>
      <c r="H6" s="98"/>
      <c r="I6" s="109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</row>
    <row r="7" spans="1:256" ht="15" customHeight="1" x14ac:dyDescent="0.2">
      <c r="A7" s="73"/>
      <c r="B7" s="106" t="s">
        <v>17</v>
      </c>
      <c r="C7" s="73"/>
      <c r="D7" s="106"/>
      <c r="E7" s="72"/>
      <c r="F7" s="107"/>
      <c r="G7" s="108"/>
      <c r="H7" s="98"/>
      <c r="I7" s="10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spans="1:256" ht="15" customHeight="1" x14ac:dyDescent="0.2">
      <c r="A8" s="73"/>
      <c r="B8" s="106" t="s">
        <v>103</v>
      </c>
      <c r="C8" s="73"/>
      <c r="D8" s="106"/>
      <c r="E8" s="72"/>
      <c r="F8" s="107"/>
      <c r="G8" s="108"/>
      <c r="H8" s="98"/>
      <c r="I8" s="109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spans="1:256" ht="15" customHeight="1" x14ac:dyDescent="0.2">
      <c r="B9" s="14"/>
      <c r="C9" s="14"/>
      <c r="K9" s="10"/>
      <c r="L9" s="10"/>
      <c r="M9" s="10"/>
      <c r="N9" s="10"/>
      <c r="O9" s="10"/>
    </row>
    <row r="10" spans="1:256" ht="15" customHeight="1" x14ac:dyDescent="0.2">
      <c r="B10" s="14"/>
      <c r="C10" s="14"/>
      <c r="K10" s="10"/>
      <c r="L10" s="10"/>
      <c r="M10" s="10"/>
      <c r="N10" s="10"/>
      <c r="O10" s="10"/>
    </row>
    <row r="11" spans="1:256" ht="15" customHeight="1" x14ac:dyDescent="0.2">
      <c r="B11" s="14"/>
      <c r="C11" s="14"/>
      <c r="K11" s="10"/>
      <c r="L11" s="10"/>
      <c r="M11" s="10"/>
      <c r="N11" s="10"/>
      <c r="O11" s="10"/>
    </row>
    <row r="12" spans="1:256" ht="15" customHeight="1" x14ac:dyDescent="0.2">
      <c r="B12" s="14"/>
      <c r="C12" s="14"/>
      <c r="K12" s="10"/>
      <c r="L12" s="10"/>
      <c r="M12" s="10"/>
      <c r="N12" s="10"/>
      <c r="O12" s="10"/>
    </row>
    <row r="13" spans="1:256" ht="15" customHeight="1" x14ac:dyDescent="0.2">
      <c r="B13" s="14"/>
      <c r="C13" s="14"/>
      <c r="K13" s="10"/>
      <c r="L13" s="10"/>
      <c r="M13" s="10"/>
      <c r="N13" s="10"/>
      <c r="O13" s="10"/>
    </row>
    <row r="14" spans="1:256" ht="15" customHeight="1" x14ac:dyDescent="0.2">
      <c r="B14" s="14"/>
      <c r="C14" s="14"/>
      <c r="K14" s="10"/>
      <c r="L14" s="10"/>
      <c r="M14" s="10"/>
      <c r="N14" s="10"/>
      <c r="O14" s="10"/>
    </row>
    <row r="15" spans="1:256" ht="15" customHeight="1" x14ac:dyDescent="0.2">
      <c r="B15" s="14"/>
      <c r="C15" s="14"/>
      <c r="K15" s="10"/>
      <c r="L15" s="10"/>
      <c r="M15" s="10"/>
      <c r="N15" s="10"/>
      <c r="O15" s="10"/>
    </row>
    <row r="16" spans="1:256" ht="15" customHeight="1" x14ac:dyDescent="0.2">
      <c r="B16" s="14"/>
      <c r="C16" s="14"/>
      <c r="K16" s="10"/>
      <c r="L16" s="10"/>
      <c r="M16" s="10"/>
      <c r="N16" s="10"/>
      <c r="O16" s="10"/>
    </row>
    <row r="17" spans="1:15" ht="15" customHeight="1" x14ac:dyDescent="0.2">
      <c r="B17" s="14"/>
      <c r="C17" s="14"/>
      <c r="K17" s="10"/>
      <c r="L17" s="10"/>
      <c r="M17" s="10"/>
      <c r="N17" s="10"/>
      <c r="O17" s="10"/>
    </row>
    <row r="18" spans="1:15" ht="15" customHeight="1" x14ac:dyDescent="0.2">
      <c r="B18" s="14"/>
      <c r="C18" s="14"/>
      <c r="K18" s="10"/>
      <c r="L18" s="10"/>
      <c r="M18" s="10"/>
      <c r="N18" s="10"/>
      <c r="O18" s="10"/>
    </row>
    <row r="19" spans="1:15" ht="15" customHeight="1" x14ac:dyDescent="0.2">
      <c r="B19" s="14"/>
      <c r="C19" s="14"/>
      <c r="K19" s="10"/>
      <c r="L19" s="10"/>
      <c r="M19" s="10"/>
      <c r="N19" s="10"/>
      <c r="O19" s="10"/>
    </row>
    <row r="20" spans="1:15" ht="15" customHeight="1" x14ac:dyDescent="0.2">
      <c r="D20" s="15" t="s">
        <v>20</v>
      </c>
      <c r="H20" s="22"/>
      <c r="K20" s="10"/>
      <c r="L20" s="10"/>
      <c r="M20" s="10"/>
      <c r="N20" s="10"/>
      <c r="O20" s="10"/>
    </row>
    <row r="21" spans="1:15" s="44" customFormat="1" ht="15" customHeight="1" x14ac:dyDescent="0.25">
      <c r="A21" s="50"/>
      <c r="B21" s="45"/>
      <c r="C21" s="46"/>
      <c r="D21" s="47" t="str">
        <f>+B1</f>
        <v>NÁHRADNÍ VÝSADBY V ROCE 2020, TŘINEC</v>
      </c>
      <c r="E21" s="48"/>
      <c r="F21" s="49"/>
      <c r="G21" s="120"/>
      <c r="H21" s="120"/>
      <c r="I21" s="50"/>
    </row>
    <row r="22" spans="1:15" ht="15" customHeight="1" x14ac:dyDescent="0.2">
      <c r="D22" s="15"/>
      <c r="K22" s="10"/>
      <c r="L22" s="10"/>
      <c r="M22" s="10"/>
      <c r="N22" s="10"/>
      <c r="O22" s="10"/>
    </row>
    <row r="23" spans="1:15" ht="15" customHeight="1" x14ac:dyDescent="0.2">
      <c r="D23" s="15"/>
      <c r="K23" s="10"/>
      <c r="L23" s="10"/>
      <c r="M23" s="10"/>
      <c r="N23" s="10"/>
      <c r="O23" s="10"/>
    </row>
    <row r="24" spans="1:15" ht="15" customHeight="1" x14ac:dyDescent="0.2">
      <c r="B24" s="12">
        <v>1</v>
      </c>
      <c r="D24" s="15" t="str">
        <f>+D57</f>
        <v>Celkem za vytyčení inženýrských sítí bez DPH</v>
      </c>
      <c r="H24" s="22">
        <f>+H57</f>
        <v>0</v>
      </c>
      <c r="K24" s="10"/>
      <c r="L24" s="10"/>
      <c r="M24" s="10"/>
      <c r="N24" s="10"/>
      <c r="O24" s="10"/>
    </row>
    <row r="25" spans="1:15" ht="15" customHeight="1" x14ac:dyDescent="0.2">
      <c r="B25" s="12">
        <v>2</v>
      </c>
      <c r="D25" s="15" t="str">
        <f>+D73</f>
        <v>Celkem za odstranění pařezů bez DPH</v>
      </c>
      <c r="H25" s="22">
        <f>+H73</f>
        <v>0</v>
      </c>
      <c r="K25" s="10"/>
      <c r="L25" s="10"/>
      <c r="M25" s="10"/>
      <c r="N25" s="10"/>
      <c r="O25" s="10"/>
    </row>
    <row r="26" spans="1:15" ht="15" customHeight="1" x14ac:dyDescent="0.2">
      <c r="B26" s="12">
        <v>3</v>
      </c>
      <c r="D26" s="15" t="str">
        <f>+D78</f>
        <v>Celkem za ochranný plot pro L9 bez DPH</v>
      </c>
      <c r="H26" s="22">
        <f>+H78</f>
        <v>0</v>
      </c>
      <c r="K26" s="10"/>
      <c r="L26" s="10"/>
      <c r="M26" s="10"/>
      <c r="N26" s="10"/>
      <c r="O26" s="10"/>
    </row>
    <row r="27" spans="1:15" ht="15" customHeight="1" x14ac:dyDescent="0.2">
      <c r="B27" s="12">
        <v>4</v>
      </c>
      <c r="D27" s="15" t="str">
        <f>+D194</f>
        <v>Celkem za výsadbu stromů a keřů včetně materiálu bez DPH</v>
      </c>
      <c r="E27" s="12"/>
      <c r="F27" s="19"/>
      <c r="G27" s="25"/>
      <c r="H27" s="22">
        <f>+H194</f>
        <v>0</v>
      </c>
      <c r="K27" s="10"/>
      <c r="L27" s="10"/>
      <c r="M27" s="10"/>
      <c r="N27" s="10"/>
      <c r="O27" s="10"/>
    </row>
    <row r="28" spans="1:15" ht="15" customHeight="1" x14ac:dyDescent="0.2">
      <c r="B28" s="12">
        <v>5</v>
      </c>
      <c r="D28" s="15" t="str">
        <f>+D209</f>
        <v>Celkem za založení květné louky (TL16) včetně materiálu bez DPH</v>
      </c>
      <c r="E28" s="12"/>
      <c r="F28" s="19"/>
      <c r="G28" s="25"/>
      <c r="H28" s="22">
        <f>+H209</f>
        <v>0</v>
      </c>
      <c r="K28" s="10"/>
      <c r="L28" s="10"/>
      <c r="M28" s="10"/>
      <c r="N28" s="10"/>
      <c r="O28" s="10"/>
    </row>
    <row r="29" spans="1:15" ht="15" customHeight="1" x14ac:dyDescent="0.2">
      <c r="B29" s="12">
        <v>6</v>
      </c>
      <c r="D29" s="15" t="str">
        <f>+D234</f>
        <v>Celkem za následnou péči po dobu 1. roku bez DPH</v>
      </c>
      <c r="E29" s="12"/>
      <c r="F29" s="19"/>
      <c r="G29" s="25"/>
      <c r="H29" s="22">
        <f>+H234</f>
        <v>0</v>
      </c>
    </row>
    <row r="30" spans="1:15" ht="15" customHeight="1" x14ac:dyDescent="0.2">
      <c r="B30" s="12">
        <v>7</v>
      </c>
      <c r="D30" s="15" t="str">
        <f>+D271</f>
        <v>Celkem za následnou péči po dobu 2. roku bez DPH</v>
      </c>
      <c r="E30" s="12"/>
      <c r="F30" s="19"/>
      <c r="G30" s="25"/>
      <c r="H30" s="22">
        <f>+H271</f>
        <v>0</v>
      </c>
    </row>
    <row r="31" spans="1:15" ht="15" customHeight="1" x14ac:dyDescent="0.2">
      <c r="B31" s="12">
        <v>8</v>
      </c>
      <c r="D31" s="15" t="str">
        <f>+D299</f>
        <v>Celkem za následnou péči po dobu 3. roku bez DPH</v>
      </c>
      <c r="H31" s="22">
        <f>+H299</f>
        <v>0</v>
      </c>
      <c r="K31" s="10"/>
      <c r="L31" s="10"/>
      <c r="M31" s="10"/>
      <c r="N31" s="10"/>
      <c r="O31" s="10"/>
    </row>
    <row r="32" spans="1:15" ht="15" customHeight="1" x14ac:dyDescent="0.2">
      <c r="D32" s="43"/>
      <c r="E32" s="12"/>
      <c r="F32" s="19"/>
      <c r="G32" s="25"/>
      <c r="H32" s="22"/>
    </row>
    <row r="33" spans="1:256" ht="15" customHeight="1" x14ac:dyDescent="0.2">
      <c r="D33" s="27"/>
      <c r="E33" s="28"/>
      <c r="F33" s="121"/>
      <c r="G33" s="121"/>
      <c r="H33" s="34"/>
    </row>
    <row r="34" spans="1:256" s="44" customFormat="1" ht="15" customHeight="1" x14ac:dyDescent="0.25">
      <c r="A34" s="50"/>
      <c r="B34" s="45"/>
      <c r="C34" s="46"/>
      <c r="D34" s="47" t="s">
        <v>13</v>
      </c>
      <c r="E34" s="48"/>
      <c r="F34" s="49"/>
      <c r="G34" s="120">
        <f>SUM(H24:H33)</f>
        <v>0</v>
      </c>
      <c r="H34" s="120"/>
      <c r="I34" s="50"/>
    </row>
    <row r="35" spans="1:256" s="44" customFormat="1" ht="15" customHeight="1" x14ac:dyDescent="0.25">
      <c r="A35" s="50"/>
      <c r="B35" s="45"/>
      <c r="C35" s="46"/>
      <c r="D35" s="47"/>
      <c r="E35" s="48"/>
      <c r="F35" s="49"/>
      <c r="G35" s="78"/>
      <c r="H35" s="78"/>
      <c r="I35" s="50"/>
    </row>
    <row r="36" spans="1:256" s="5" customFormat="1" ht="15" customHeight="1" x14ac:dyDescent="0.25">
      <c r="A36" s="8"/>
      <c r="B36" s="13"/>
      <c r="C36" s="41"/>
      <c r="D36" s="23"/>
      <c r="E36" s="17"/>
      <c r="F36" s="20"/>
      <c r="G36" s="79"/>
      <c r="H36" s="36"/>
      <c r="I36" s="8"/>
    </row>
    <row r="37" spans="1:256" s="29" customFormat="1" ht="23.25" customHeight="1" x14ac:dyDescent="0.4">
      <c r="A37" s="51"/>
      <c r="B37" s="30"/>
      <c r="C37" s="42"/>
      <c r="D37" s="31" t="s">
        <v>26</v>
      </c>
      <c r="E37" s="32"/>
      <c r="F37" s="122">
        <f>+G34*1.21</f>
        <v>0</v>
      </c>
      <c r="G37" s="122"/>
      <c r="H37" s="122"/>
      <c r="I37" s="51"/>
    </row>
    <row r="38" spans="1:256" s="5" customFormat="1" ht="15" customHeight="1" x14ac:dyDescent="0.25">
      <c r="A38" s="8"/>
      <c r="B38" s="13"/>
      <c r="C38" s="41"/>
      <c r="D38" s="16"/>
      <c r="E38" s="17"/>
      <c r="F38" s="20"/>
      <c r="G38" s="33"/>
      <c r="H38" s="35"/>
      <c r="I38" s="8"/>
    </row>
    <row r="39" spans="1:256" s="5" customFormat="1" ht="15" customHeight="1" x14ac:dyDescent="0.25">
      <c r="A39" s="8"/>
      <c r="B39" s="13"/>
      <c r="C39" s="41"/>
      <c r="D39" s="16"/>
      <c r="E39" s="17"/>
      <c r="F39" s="20"/>
      <c r="G39" s="33"/>
      <c r="H39" s="35"/>
      <c r="I39" s="8"/>
    </row>
    <row r="40" spans="1:256" s="5" customFormat="1" ht="15" customHeight="1" x14ac:dyDescent="0.25">
      <c r="A40" s="7"/>
      <c r="B40" s="52"/>
      <c r="C40" s="7"/>
      <c r="D40" s="15"/>
      <c r="E40" s="12"/>
      <c r="F40" s="25"/>
      <c r="G40" s="25"/>
      <c r="H40" s="22"/>
      <c r="I40" s="9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5" customFormat="1" ht="15" customHeight="1" x14ac:dyDescent="0.25">
      <c r="A41" s="7"/>
      <c r="B41" s="52"/>
      <c r="C41" s="7"/>
      <c r="D41" s="15"/>
      <c r="E41" s="12"/>
      <c r="F41" s="25"/>
      <c r="G41" s="25"/>
      <c r="H41" s="22"/>
      <c r="I41" s="9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5" customFormat="1" ht="15" customHeight="1" x14ac:dyDescent="0.25">
      <c r="A42" s="7"/>
      <c r="B42" s="52"/>
      <c r="C42" s="7"/>
      <c r="D42" s="15"/>
      <c r="E42" s="12"/>
      <c r="F42" s="25"/>
      <c r="G42" s="25"/>
      <c r="H42" s="22"/>
      <c r="I42" s="9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5" customFormat="1" ht="15" customHeight="1" x14ac:dyDescent="0.25">
      <c r="A43" s="7"/>
      <c r="B43" s="52"/>
      <c r="C43" s="7"/>
      <c r="D43" s="15"/>
      <c r="E43" s="12"/>
      <c r="F43" s="25"/>
      <c r="G43" s="25"/>
      <c r="H43" s="22"/>
      <c r="I43" s="9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5" customFormat="1" ht="15" customHeight="1" x14ac:dyDescent="0.25">
      <c r="A44" s="7"/>
      <c r="B44" s="52"/>
      <c r="C44" s="7"/>
      <c r="D44" s="15"/>
      <c r="E44" s="12"/>
      <c r="F44" s="25"/>
      <c r="G44" s="25"/>
      <c r="H44" s="22"/>
      <c r="I44" s="9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5" customFormat="1" ht="15" customHeight="1" x14ac:dyDescent="0.25">
      <c r="A45" s="7"/>
      <c r="B45" s="52"/>
      <c r="C45" s="7"/>
      <c r="D45" s="15"/>
      <c r="E45" s="12"/>
      <c r="F45" s="25"/>
      <c r="G45" s="25"/>
      <c r="H45" s="22"/>
      <c r="I45" s="9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5" customFormat="1" ht="15" customHeight="1" x14ac:dyDescent="0.25">
      <c r="A46" s="7"/>
      <c r="B46" s="52"/>
      <c r="C46" s="7"/>
      <c r="D46" s="15"/>
      <c r="E46" s="12"/>
      <c r="F46" s="25"/>
      <c r="G46" s="25"/>
      <c r="H46" s="22"/>
      <c r="I46" s="9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5" customFormat="1" ht="15" customHeight="1" x14ac:dyDescent="0.25">
      <c r="A47" s="7"/>
      <c r="B47" s="52"/>
      <c r="C47" s="7"/>
      <c r="D47" s="15"/>
      <c r="E47" s="12"/>
      <c r="F47" s="25"/>
      <c r="G47" s="25"/>
      <c r="H47" s="22"/>
      <c r="I47" s="9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5" customFormat="1" ht="15" customHeight="1" x14ac:dyDescent="0.25">
      <c r="A48" s="7"/>
      <c r="B48" s="52"/>
      <c r="C48" s="7"/>
      <c r="D48" s="15"/>
      <c r="E48" s="12"/>
      <c r="F48" s="25"/>
      <c r="G48" s="25"/>
      <c r="H48" s="22"/>
      <c r="I48" s="9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7" s="5" customFormat="1" ht="15" customHeight="1" x14ac:dyDescent="0.25">
      <c r="A49" s="7"/>
      <c r="B49" s="52"/>
      <c r="C49" s="7"/>
      <c r="D49" s="15"/>
      <c r="E49" s="12"/>
      <c r="F49" s="25"/>
      <c r="G49" s="25"/>
      <c r="H49" s="22"/>
      <c r="I49" s="9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7" s="5" customFormat="1" ht="15" customHeight="1" x14ac:dyDescent="0.25">
      <c r="A50" s="7"/>
      <c r="B50" s="52"/>
      <c r="C50" s="7"/>
      <c r="D50" s="15"/>
      <c r="E50" s="12"/>
      <c r="F50" s="25"/>
      <c r="G50" s="25"/>
      <c r="H50" s="22"/>
      <c r="I50" s="9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7" s="5" customFormat="1" ht="15" customHeight="1" x14ac:dyDescent="0.25">
      <c r="A51" s="7"/>
      <c r="B51" s="52"/>
      <c r="C51" s="7"/>
      <c r="D51" s="15"/>
      <c r="E51" s="12"/>
      <c r="F51" s="25"/>
      <c r="G51" s="25"/>
      <c r="H51" s="22"/>
      <c r="I51" s="9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7" s="5" customFormat="1" ht="15" customHeight="1" x14ac:dyDescent="0.25">
      <c r="A52" s="7"/>
      <c r="B52" s="52"/>
      <c r="C52" s="7"/>
      <c r="D52" s="15"/>
      <c r="E52" s="12"/>
      <c r="F52" s="25"/>
      <c r="G52" s="25"/>
      <c r="H52" s="22"/>
      <c r="I52" s="9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7" s="5" customFormat="1" ht="15" customHeight="1" x14ac:dyDescent="0.25">
      <c r="A53" s="7"/>
      <c r="B53" s="52"/>
      <c r="C53" s="7"/>
      <c r="D53" s="15"/>
      <c r="E53" s="12"/>
      <c r="F53" s="25"/>
      <c r="G53" s="25"/>
      <c r="H53" s="22"/>
      <c r="I53" s="9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7" s="5" customFormat="1" ht="15" customHeight="1" x14ac:dyDescent="0.25">
      <c r="A54" s="52"/>
      <c r="B54" s="52">
        <v>1</v>
      </c>
      <c r="C54" s="54"/>
      <c r="D54" s="54"/>
      <c r="E54" s="52"/>
      <c r="F54" s="55"/>
      <c r="G54" s="55"/>
      <c r="H54" s="56"/>
      <c r="I54" s="57"/>
      <c r="J54" s="52"/>
      <c r="K54" s="58"/>
      <c r="L54" s="52"/>
      <c r="M54" s="53"/>
      <c r="N54" s="52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spans="1:257" s="5" customFormat="1" ht="15" customHeight="1" x14ac:dyDescent="0.25">
      <c r="A55" s="52"/>
      <c r="B55" s="52" t="s">
        <v>10</v>
      </c>
      <c r="C55" s="54" t="s">
        <v>197</v>
      </c>
      <c r="D55" s="54"/>
      <c r="E55" s="52" t="s">
        <v>4</v>
      </c>
      <c r="F55" s="55" t="s">
        <v>5</v>
      </c>
      <c r="G55" s="55" t="s">
        <v>11</v>
      </c>
      <c r="H55" s="56" t="s">
        <v>8</v>
      </c>
      <c r="I55" s="57"/>
      <c r="J55" s="52"/>
      <c r="K55" s="58"/>
      <c r="L55" s="52"/>
      <c r="M55" s="53"/>
      <c r="N55" s="52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  <row r="56" spans="1:257" s="5" customFormat="1" ht="15" customHeight="1" x14ac:dyDescent="0.25">
      <c r="A56" s="81"/>
      <c r="B56" s="59">
        <v>1</v>
      </c>
      <c r="C56" s="59" t="s">
        <v>12</v>
      </c>
      <c r="D56" s="82" t="s">
        <v>36</v>
      </c>
      <c r="E56" s="59" t="s">
        <v>1</v>
      </c>
      <c r="F56" s="83">
        <v>1</v>
      </c>
      <c r="G56" s="83"/>
      <c r="H56" s="60">
        <f>+F56*G56</f>
        <v>0</v>
      </c>
      <c r="I56" s="93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85"/>
    </row>
    <row r="57" spans="1:257" ht="12.75" x14ac:dyDescent="0.2">
      <c r="A57" s="52"/>
      <c r="B57" s="52"/>
      <c r="C57" s="54"/>
      <c r="D57" s="54" t="s">
        <v>198</v>
      </c>
      <c r="E57" s="52"/>
      <c r="F57" s="55"/>
      <c r="G57" s="55"/>
      <c r="H57" s="56">
        <f>SUM(H56)</f>
        <v>0</v>
      </c>
      <c r="I57" s="57"/>
      <c r="J57" s="52"/>
      <c r="K57" s="58"/>
      <c r="L57" s="52"/>
      <c r="M57" s="53"/>
      <c r="N57" s="52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</row>
    <row r="58" spans="1:257" s="5" customFormat="1" ht="15" customHeight="1" x14ac:dyDescent="0.25">
      <c r="A58" s="52"/>
      <c r="B58" s="52"/>
      <c r="C58" s="54"/>
      <c r="D58" s="54"/>
      <c r="E58" s="52"/>
      <c r="F58" s="55"/>
      <c r="G58" s="55"/>
      <c r="H58" s="56"/>
      <c r="I58" s="57"/>
      <c r="J58" s="52"/>
      <c r="K58" s="58"/>
      <c r="L58" s="52"/>
      <c r="M58" s="53"/>
      <c r="N58" s="52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</row>
    <row r="59" spans="1:257" s="5" customFormat="1" ht="15" customHeight="1" x14ac:dyDescent="0.25">
      <c r="A59" s="52"/>
      <c r="B59" s="52">
        <v>2</v>
      </c>
      <c r="C59" s="54"/>
      <c r="D59" s="54"/>
      <c r="E59" s="52"/>
      <c r="F59" s="55"/>
      <c r="G59" s="55"/>
      <c r="H59" s="56"/>
      <c r="I59" s="57"/>
      <c r="J59" s="52"/>
      <c r="K59" s="58"/>
      <c r="L59" s="52"/>
      <c r="M59" s="53"/>
      <c r="N59" s="52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</row>
    <row r="60" spans="1:257" s="53" customFormat="1" ht="15" customHeight="1" x14ac:dyDescent="0.2">
      <c r="A60" s="52"/>
      <c r="B60" s="52" t="s">
        <v>10</v>
      </c>
      <c r="C60" s="54" t="s">
        <v>184</v>
      </c>
      <c r="D60" s="54"/>
      <c r="E60" s="52" t="s">
        <v>4</v>
      </c>
      <c r="F60" s="55" t="s">
        <v>5</v>
      </c>
      <c r="G60" s="55" t="s">
        <v>11</v>
      </c>
      <c r="H60" s="56" t="s">
        <v>8</v>
      </c>
      <c r="I60" s="80"/>
      <c r="J60" s="80"/>
      <c r="K60" s="52"/>
      <c r="L60" s="58"/>
      <c r="M60" s="52"/>
      <c r="O60" s="52"/>
    </row>
    <row r="61" spans="1:257" s="61" customFormat="1" ht="26.25" customHeight="1" x14ac:dyDescent="0.2">
      <c r="A61" s="81"/>
      <c r="B61" s="59">
        <v>2</v>
      </c>
      <c r="C61" s="59">
        <v>112251211</v>
      </c>
      <c r="D61" s="82" t="s">
        <v>192</v>
      </c>
      <c r="E61" s="59" t="s">
        <v>0</v>
      </c>
      <c r="F61" s="83">
        <f>1*3.14*0.4*0.4</f>
        <v>0.50240000000000007</v>
      </c>
      <c r="G61" s="83"/>
      <c r="H61" s="60">
        <f t="shared" ref="H61:H71" si="0">+F61*G61</f>
        <v>0</v>
      </c>
      <c r="I61" s="84"/>
      <c r="J61" s="84"/>
      <c r="K61" s="72"/>
    </row>
    <row r="62" spans="1:257" s="116" customFormat="1" ht="26.25" customHeight="1" x14ac:dyDescent="0.2">
      <c r="A62" s="110"/>
      <c r="B62" s="99">
        <v>3</v>
      </c>
      <c r="C62" s="99">
        <v>112251213</v>
      </c>
      <c r="D62" s="111" t="s">
        <v>186</v>
      </c>
      <c r="E62" s="99" t="s">
        <v>0</v>
      </c>
      <c r="F62" s="112">
        <f>1*3.14*0.2*0.2</f>
        <v>0.12560000000000002</v>
      </c>
      <c r="G62" s="112"/>
      <c r="H62" s="113">
        <f t="shared" si="0"/>
        <v>0</v>
      </c>
      <c r="I62" s="114"/>
      <c r="J62" s="114"/>
      <c r="K62" s="115"/>
    </row>
    <row r="63" spans="1:257" s="116" customFormat="1" ht="26.25" customHeight="1" x14ac:dyDescent="0.2">
      <c r="A63" s="110"/>
      <c r="B63" s="99">
        <v>4</v>
      </c>
      <c r="C63" s="99">
        <v>112251213</v>
      </c>
      <c r="D63" s="111" t="s">
        <v>187</v>
      </c>
      <c r="E63" s="99" t="s">
        <v>0</v>
      </c>
      <c r="F63" s="112">
        <f>4*3.14*0.25*0.25</f>
        <v>0.78500000000000003</v>
      </c>
      <c r="G63" s="112"/>
      <c r="H63" s="113">
        <f t="shared" si="0"/>
        <v>0</v>
      </c>
      <c r="I63" s="114"/>
      <c r="J63" s="114"/>
      <c r="K63" s="115"/>
    </row>
    <row r="64" spans="1:257" s="116" customFormat="1" ht="26.25" customHeight="1" x14ac:dyDescent="0.2">
      <c r="A64" s="110"/>
      <c r="B64" s="99">
        <v>5</v>
      </c>
      <c r="C64" s="99">
        <v>112251213</v>
      </c>
      <c r="D64" s="111" t="s">
        <v>188</v>
      </c>
      <c r="E64" s="99" t="s">
        <v>0</v>
      </c>
      <c r="F64" s="112">
        <f>4*3.14*0.3*0.3</f>
        <v>1.1303999999999998</v>
      </c>
      <c r="G64" s="112"/>
      <c r="H64" s="113">
        <f t="shared" si="0"/>
        <v>0</v>
      </c>
      <c r="I64" s="114"/>
      <c r="J64" s="114"/>
      <c r="K64" s="115"/>
    </row>
    <row r="65" spans="1:257" s="116" customFormat="1" ht="26.25" customHeight="1" x14ac:dyDescent="0.2">
      <c r="A65" s="110"/>
      <c r="B65" s="99">
        <v>6</v>
      </c>
      <c r="C65" s="99">
        <v>112251213</v>
      </c>
      <c r="D65" s="111" t="s">
        <v>189</v>
      </c>
      <c r="E65" s="99" t="s">
        <v>0</v>
      </c>
      <c r="F65" s="112">
        <f>1*3.14*0.35*0.35</f>
        <v>0.38464999999999999</v>
      </c>
      <c r="G65" s="112"/>
      <c r="H65" s="113">
        <f t="shared" si="0"/>
        <v>0</v>
      </c>
      <c r="I65" s="114"/>
      <c r="J65" s="114"/>
      <c r="K65" s="115"/>
    </row>
    <row r="66" spans="1:257" s="116" customFormat="1" ht="26.25" customHeight="1" x14ac:dyDescent="0.2">
      <c r="A66" s="110"/>
      <c r="B66" s="99">
        <v>7</v>
      </c>
      <c r="C66" s="99">
        <v>112251213</v>
      </c>
      <c r="D66" s="111" t="s">
        <v>190</v>
      </c>
      <c r="E66" s="99" t="s">
        <v>0</v>
      </c>
      <c r="F66" s="112">
        <f>1*3.14*0.4*0.4</f>
        <v>0.50240000000000007</v>
      </c>
      <c r="G66" s="112"/>
      <c r="H66" s="113">
        <f t="shared" si="0"/>
        <v>0</v>
      </c>
      <c r="I66" s="114"/>
      <c r="J66" s="114"/>
      <c r="K66" s="115"/>
    </row>
    <row r="67" spans="1:257" s="116" customFormat="1" ht="26.25" customHeight="1" x14ac:dyDescent="0.2">
      <c r="A67" s="110"/>
      <c r="B67" s="99">
        <v>8</v>
      </c>
      <c r="C67" s="99">
        <v>112251213</v>
      </c>
      <c r="D67" s="111" t="s">
        <v>191</v>
      </c>
      <c r="E67" s="99" t="s">
        <v>0</v>
      </c>
      <c r="F67" s="112">
        <f>1*3.14*0.65*0.65</f>
        <v>1.3266500000000003</v>
      </c>
      <c r="G67" s="112"/>
      <c r="H67" s="113">
        <f t="shared" si="0"/>
        <v>0</v>
      </c>
      <c r="I67" s="114"/>
      <c r="J67" s="114"/>
      <c r="K67" s="115"/>
    </row>
    <row r="68" spans="1:257" s="61" customFormat="1" ht="26.25" customHeight="1" x14ac:dyDescent="0.2">
      <c r="A68" s="81"/>
      <c r="B68" s="59">
        <v>9</v>
      </c>
      <c r="C68" s="59">
        <v>174111111</v>
      </c>
      <c r="D68" s="82" t="s">
        <v>194</v>
      </c>
      <c r="E68" s="59" t="s">
        <v>0</v>
      </c>
      <c r="F68" s="83">
        <f>+F61</f>
        <v>0.50240000000000007</v>
      </c>
      <c r="G68" s="83"/>
      <c r="H68" s="60">
        <f t="shared" si="0"/>
        <v>0</v>
      </c>
      <c r="I68" s="84"/>
      <c r="J68" s="84"/>
      <c r="K68" s="72"/>
    </row>
    <row r="69" spans="1:257" s="61" customFormat="1" ht="26.25" customHeight="1" x14ac:dyDescent="0.2">
      <c r="A69" s="81"/>
      <c r="B69" s="59">
        <v>10</v>
      </c>
      <c r="C69" s="59">
        <v>174111113</v>
      </c>
      <c r="D69" s="82" t="s">
        <v>195</v>
      </c>
      <c r="E69" s="59" t="s">
        <v>0</v>
      </c>
      <c r="F69" s="83">
        <f>+SUM(F62:F67)</f>
        <v>4.2547000000000006</v>
      </c>
      <c r="G69" s="83"/>
      <c r="H69" s="60">
        <f t="shared" si="0"/>
        <v>0</v>
      </c>
      <c r="I69" s="84"/>
      <c r="J69" s="84"/>
      <c r="K69" s="72"/>
    </row>
    <row r="70" spans="1:257" s="61" customFormat="1" ht="26.25" customHeight="1" x14ac:dyDescent="0.2">
      <c r="A70" s="81"/>
      <c r="B70" s="59">
        <v>11</v>
      </c>
      <c r="C70" s="59">
        <v>998231311</v>
      </c>
      <c r="D70" s="82" t="s">
        <v>148</v>
      </c>
      <c r="E70" s="59" t="s">
        <v>2</v>
      </c>
      <c r="F70" s="83">
        <f>F72*1.3</f>
        <v>1.2350000000000001</v>
      </c>
      <c r="G70" s="83"/>
      <c r="H70" s="60">
        <f t="shared" si="0"/>
        <v>0</v>
      </c>
      <c r="I70" s="84"/>
      <c r="J70" s="84"/>
      <c r="K70" s="72"/>
    </row>
    <row r="71" spans="1:257" s="61" customFormat="1" ht="26.25" customHeight="1" x14ac:dyDescent="0.2">
      <c r="A71" s="81"/>
      <c r="B71" s="59">
        <v>12</v>
      </c>
      <c r="C71" s="59" t="s">
        <v>12</v>
      </c>
      <c r="D71" s="82" t="s">
        <v>193</v>
      </c>
      <c r="E71" s="59" t="s">
        <v>0</v>
      </c>
      <c r="F71" s="83">
        <f>SUM(F61:F67)</f>
        <v>4.7571000000000012</v>
      </c>
      <c r="G71" s="83"/>
      <c r="H71" s="60">
        <f t="shared" si="0"/>
        <v>0</v>
      </c>
      <c r="I71" s="84"/>
      <c r="J71" s="84"/>
      <c r="K71" s="72"/>
    </row>
    <row r="72" spans="1:257" s="61" customFormat="1" ht="26.25" customHeight="1" x14ac:dyDescent="0.2">
      <c r="A72" s="81"/>
      <c r="B72" s="59">
        <v>13</v>
      </c>
      <c r="C72" s="59" t="s">
        <v>3</v>
      </c>
      <c r="D72" s="82" t="s">
        <v>196</v>
      </c>
      <c r="E72" s="59" t="s">
        <v>9</v>
      </c>
      <c r="F72" s="83">
        <f>+(4.25+0.5)*0.2</f>
        <v>0.95000000000000007</v>
      </c>
      <c r="G72" s="83"/>
      <c r="H72" s="60">
        <f>G72*F72</f>
        <v>0</v>
      </c>
      <c r="I72" s="84"/>
      <c r="J72" s="84"/>
      <c r="K72" s="72"/>
    </row>
    <row r="73" spans="1:257" s="53" customFormat="1" ht="15" customHeight="1" x14ac:dyDescent="0.2">
      <c r="A73" s="52"/>
      <c r="B73" s="52"/>
      <c r="C73" s="54"/>
      <c r="D73" s="54" t="s">
        <v>185</v>
      </c>
      <c r="E73" s="52"/>
      <c r="F73" s="55"/>
      <c r="G73" s="55"/>
      <c r="H73" s="56">
        <f>SUM(H61:H72)</f>
        <v>0</v>
      </c>
      <c r="I73" s="80"/>
      <c r="J73" s="80"/>
      <c r="K73" s="52"/>
      <c r="L73" s="58"/>
      <c r="M73" s="52"/>
      <c r="O73" s="52"/>
    </row>
    <row r="74" spans="1:257" s="5" customFormat="1" ht="15" customHeight="1" x14ac:dyDescent="0.25">
      <c r="A74" s="52"/>
      <c r="B74" s="52"/>
      <c r="C74" s="54"/>
      <c r="D74" s="54"/>
      <c r="E74" s="52"/>
      <c r="F74" s="55"/>
      <c r="G74" s="55"/>
      <c r="H74" s="56"/>
      <c r="I74" s="57"/>
      <c r="J74" s="52"/>
      <c r="K74" s="58"/>
      <c r="L74" s="52"/>
      <c r="M74" s="53"/>
      <c r="N74" s="52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</row>
    <row r="75" spans="1:257" s="5" customFormat="1" ht="15" customHeight="1" x14ac:dyDescent="0.25">
      <c r="A75" s="52"/>
      <c r="B75" s="52">
        <v>3</v>
      </c>
      <c r="C75" s="54"/>
      <c r="D75" s="54"/>
      <c r="E75" s="52"/>
      <c r="F75" s="55"/>
      <c r="G75" s="55"/>
      <c r="H75" s="56"/>
      <c r="I75" s="57"/>
      <c r="J75" s="52"/>
      <c r="K75" s="58"/>
      <c r="L75" s="52"/>
      <c r="M75" s="53"/>
      <c r="N75" s="52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</row>
    <row r="76" spans="1:257" s="5" customFormat="1" ht="15" customHeight="1" x14ac:dyDescent="0.25">
      <c r="A76" s="52"/>
      <c r="B76" s="52" t="s">
        <v>10</v>
      </c>
      <c r="C76" s="54" t="s">
        <v>199</v>
      </c>
      <c r="D76" s="54"/>
      <c r="E76" s="52" t="s">
        <v>4</v>
      </c>
      <c r="F76" s="55" t="s">
        <v>5</v>
      </c>
      <c r="G76" s="55" t="s">
        <v>11</v>
      </c>
      <c r="H76" s="56" t="s">
        <v>8</v>
      </c>
      <c r="I76" s="57"/>
      <c r="J76" s="52"/>
      <c r="K76" s="58"/>
      <c r="L76" s="52"/>
      <c r="M76" s="53"/>
      <c r="N76" s="52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</row>
    <row r="77" spans="1:257" ht="38.25" x14ac:dyDescent="0.2">
      <c r="A77" s="81"/>
      <c r="B77" s="59">
        <v>14</v>
      </c>
      <c r="C77" s="59" t="s">
        <v>12</v>
      </c>
      <c r="D77" s="82" t="s">
        <v>47</v>
      </c>
      <c r="E77" s="59" t="s">
        <v>22</v>
      </c>
      <c r="F77" s="83">
        <v>50</v>
      </c>
      <c r="G77" s="83"/>
      <c r="H77" s="60">
        <f>+F77*G77</f>
        <v>0</v>
      </c>
      <c r="I77" s="93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85"/>
    </row>
    <row r="78" spans="1:257" ht="12.75" x14ac:dyDescent="0.2">
      <c r="A78" s="52"/>
      <c r="B78" s="52"/>
      <c r="C78" s="54"/>
      <c r="D78" s="54" t="s">
        <v>200</v>
      </c>
      <c r="E78" s="52"/>
      <c r="F78" s="55"/>
      <c r="G78" s="55"/>
      <c r="H78" s="56">
        <f>SUM(H77)</f>
        <v>0</v>
      </c>
      <c r="I78" s="57"/>
      <c r="J78" s="52"/>
      <c r="K78" s="58"/>
      <c r="L78" s="52"/>
      <c r="M78" s="53"/>
      <c r="N78" s="52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</row>
    <row r="79" spans="1:257" s="5" customFormat="1" ht="15" customHeight="1" x14ac:dyDescent="0.25">
      <c r="A79" s="52"/>
      <c r="B79" s="52"/>
      <c r="C79" s="54"/>
      <c r="D79" s="54"/>
      <c r="E79" s="52"/>
      <c r="F79" s="55"/>
      <c r="G79" s="55"/>
      <c r="H79" s="56"/>
      <c r="I79" s="57"/>
      <c r="J79" s="52"/>
      <c r="K79" s="58"/>
      <c r="L79" s="52"/>
      <c r="M79" s="53"/>
      <c r="N79" s="52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</row>
    <row r="80" spans="1:257" s="5" customFormat="1" ht="15" customHeight="1" x14ac:dyDescent="0.25">
      <c r="A80" s="52"/>
      <c r="B80" s="52">
        <v>4</v>
      </c>
      <c r="C80" s="54"/>
      <c r="D80" s="54"/>
      <c r="E80" s="52"/>
      <c r="F80" s="55"/>
      <c r="G80" s="55"/>
      <c r="H80" s="56"/>
      <c r="I80" s="57"/>
      <c r="J80" s="52"/>
      <c r="K80" s="58"/>
      <c r="L80" s="52"/>
      <c r="M80" s="53"/>
      <c r="N80" s="52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</row>
    <row r="81" spans="1:256" ht="12.75" x14ac:dyDescent="0.2">
      <c r="A81" s="52"/>
      <c r="B81" s="52" t="s">
        <v>10</v>
      </c>
      <c r="C81" s="54" t="s">
        <v>49</v>
      </c>
      <c r="D81" s="54"/>
      <c r="E81" s="52" t="s">
        <v>4</v>
      </c>
      <c r="F81" s="55" t="s">
        <v>5</v>
      </c>
      <c r="G81" s="55" t="s">
        <v>11</v>
      </c>
      <c r="H81" s="56" t="s">
        <v>8</v>
      </c>
      <c r="I81" s="57"/>
      <c r="J81" s="52"/>
      <c r="K81" s="58"/>
      <c r="L81" s="52"/>
      <c r="M81" s="53"/>
      <c r="N81" s="52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</row>
    <row r="82" spans="1:256" ht="54.75" customHeight="1" x14ac:dyDescent="0.2">
      <c r="A82" s="81"/>
      <c r="B82" s="59">
        <v>15</v>
      </c>
      <c r="C82" s="59">
        <v>184802111</v>
      </c>
      <c r="D82" s="82" t="s">
        <v>206</v>
      </c>
      <c r="E82" s="59" t="s">
        <v>0</v>
      </c>
      <c r="F82" s="83">
        <f>+ (34+34+12+4+9+13+13+12+13+13+8+3+40)</f>
        <v>208</v>
      </c>
      <c r="G82" s="83"/>
      <c r="H82" s="60">
        <f>+F82*G82</f>
        <v>0</v>
      </c>
      <c r="I82" s="93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</row>
    <row r="83" spans="1:256" s="118" customFormat="1" ht="25.5" x14ac:dyDescent="0.2">
      <c r="A83" s="110"/>
      <c r="B83" s="99">
        <v>16</v>
      </c>
      <c r="C83" s="99">
        <v>184802311</v>
      </c>
      <c r="D83" s="111" t="s">
        <v>106</v>
      </c>
      <c r="E83" s="99" t="s">
        <v>0</v>
      </c>
      <c r="F83" s="112">
        <f>+(22+14+24+40)</f>
        <v>100</v>
      </c>
      <c r="G83" s="112"/>
      <c r="H83" s="113">
        <f>+F83*G83</f>
        <v>0</v>
      </c>
      <c r="I83" s="117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61" customFormat="1" ht="26.25" customHeight="1" x14ac:dyDescent="0.2">
      <c r="A84" s="81"/>
      <c r="B84" s="59">
        <v>17</v>
      </c>
      <c r="C84" s="59">
        <v>183205121</v>
      </c>
      <c r="D84" s="82" t="s">
        <v>107</v>
      </c>
      <c r="E84" s="59" t="s">
        <v>0</v>
      </c>
      <c r="F84" s="83">
        <f>+F82</f>
        <v>208</v>
      </c>
      <c r="G84" s="83"/>
      <c r="H84" s="60">
        <f>G84*F84</f>
        <v>0</v>
      </c>
      <c r="I84" s="84"/>
      <c r="J84" s="84"/>
      <c r="K84" s="72"/>
    </row>
    <row r="85" spans="1:256" s="9" customFormat="1" ht="38.25" x14ac:dyDescent="0.2">
      <c r="A85" s="81"/>
      <c r="B85" s="59">
        <v>18</v>
      </c>
      <c r="C85" s="59">
        <v>183211211</v>
      </c>
      <c r="D85" s="82" t="s">
        <v>169</v>
      </c>
      <c r="E85" s="59" t="s">
        <v>0</v>
      </c>
      <c r="F85" s="83">
        <v>2</v>
      </c>
      <c r="G85" s="83"/>
      <c r="H85" s="60">
        <f>G85*F85</f>
        <v>0</v>
      </c>
      <c r="I85" s="93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</row>
    <row r="86" spans="1:256" s="9" customFormat="1" ht="51" x14ac:dyDescent="0.2">
      <c r="A86" s="81"/>
      <c r="B86" s="59">
        <v>19</v>
      </c>
      <c r="C86" s="59">
        <v>183106612</v>
      </c>
      <c r="D86" s="82" t="s">
        <v>108</v>
      </c>
      <c r="E86" s="59" t="s">
        <v>22</v>
      </c>
      <c r="F86" s="83">
        <v>14</v>
      </c>
      <c r="G86" s="83"/>
      <c r="H86" s="60">
        <f>+F86*G86</f>
        <v>0</v>
      </c>
      <c r="I86" s="93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</row>
    <row r="87" spans="1:256" s="61" customFormat="1" ht="26.25" customHeight="1" x14ac:dyDescent="0.2">
      <c r="A87" s="81"/>
      <c r="B87" s="59">
        <v>20</v>
      </c>
      <c r="C87" s="59">
        <v>183111111</v>
      </c>
      <c r="D87" s="82" t="s">
        <v>119</v>
      </c>
      <c r="E87" s="59" t="s">
        <v>1</v>
      </c>
      <c r="F87" s="83">
        <f t="shared" ref="F87:F95" si="1">+F96</f>
        <v>200</v>
      </c>
      <c r="G87" s="83"/>
      <c r="H87" s="60">
        <f>+F87*G87</f>
        <v>0</v>
      </c>
      <c r="I87" s="84"/>
      <c r="J87" s="84"/>
      <c r="K87" s="72"/>
    </row>
    <row r="88" spans="1:256" s="61" customFormat="1" ht="26.25" customHeight="1" x14ac:dyDescent="0.2">
      <c r="A88" s="81"/>
      <c r="B88" s="59">
        <v>21</v>
      </c>
      <c r="C88" s="59">
        <v>183111113</v>
      </c>
      <c r="D88" s="82" t="s">
        <v>168</v>
      </c>
      <c r="E88" s="59" t="s">
        <v>1</v>
      </c>
      <c r="F88" s="83">
        <f t="shared" si="1"/>
        <v>18</v>
      </c>
      <c r="G88" s="83"/>
      <c r="H88" s="60">
        <f>+F88*G88</f>
        <v>0</v>
      </c>
      <c r="I88" s="98"/>
      <c r="J88" s="84"/>
      <c r="K88" s="72"/>
    </row>
    <row r="89" spans="1:256" s="61" customFormat="1" ht="26.25" customHeight="1" x14ac:dyDescent="0.2">
      <c r="A89" s="81"/>
      <c r="B89" s="59">
        <v>22</v>
      </c>
      <c r="C89" s="59">
        <v>183111214</v>
      </c>
      <c r="D89" s="82" t="s">
        <v>120</v>
      </c>
      <c r="E89" s="59" t="s">
        <v>1</v>
      </c>
      <c r="F89" s="83">
        <f t="shared" si="1"/>
        <v>360</v>
      </c>
      <c r="G89" s="83"/>
      <c r="H89" s="60">
        <f>+F89*G89</f>
        <v>0</v>
      </c>
      <c r="I89" s="84"/>
      <c r="J89" s="84"/>
      <c r="K89" s="72"/>
    </row>
    <row r="90" spans="1:256" s="118" customFormat="1" ht="25.5" x14ac:dyDescent="0.2">
      <c r="A90" s="110"/>
      <c r="B90" s="99">
        <v>23</v>
      </c>
      <c r="C90" s="99">
        <v>183115214</v>
      </c>
      <c r="D90" s="111" t="s">
        <v>123</v>
      </c>
      <c r="E90" s="99" t="s">
        <v>1</v>
      </c>
      <c r="F90" s="112">
        <f t="shared" si="1"/>
        <v>100</v>
      </c>
      <c r="G90" s="112"/>
      <c r="H90" s="113">
        <f t="shared" ref="H90:H95" si="2">G90*F90</f>
        <v>0</v>
      </c>
      <c r="I90" s="117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116"/>
      <c r="HY90" s="116"/>
      <c r="HZ90" s="116"/>
      <c r="IA90" s="116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116"/>
      <c r="IM90" s="116"/>
      <c r="IN90" s="116"/>
      <c r="IO90" s="116"/>
      <c r="IP90" s="116"/>
      <c r="IQ90" s="116"/>
      <c r="IR90" s="116"/>
      <c r="IS90" s="116"/>
      <c r="IT90" s="116"/>
      <c r="IU90" s="116"/>
      <c r="IV90" s="116"/>
    </row>
    <row r="91" spans="1:256" s="61" customFormat="1" ht="26.25" customHeight="1" x14ac:dyDescent="0.2">
      <c r="A91" s="81"/>
      <c r="B91" s="59">
        <v>24</v>
      </c>
      <c r="C91" s="59">
        <v>183101214</v>
      </c>
      <c r="D91" s="82" t="s">
        <v>122</v>
      </c>
      <c r="E91" s="59" t="s">
        <v>1</v>
      </c>
      <c r="F91" s="83">
        <f t="shared" si="1"/>
        <v>12</v>
      </c>
      <c r="G91" s="83"/>
      <c r="H91" s="60">
        <f t="shared" si="2"/>
        <v>0</v>
      </c>
      <c r="I91" s="84"/>
      <c r="J91" s="84"/>
      <c r="K91" s="72"/>
    </row>
    <row r="92" spans="1:256" s="61" customFormat="1" ht="26.25" customHeight="1" x14ac:dyDescent="0.2">
      <c r="A92" s="81"/>
      <c r="B92" s="59">
        <v>25</v>
      </c>
      <c r="C92" s="59">
        <v>183101215</v>
      </c>
      <c r="D92" s="82" t="s">
        <v>121</v>
      </c>
      <c r="E92" s="59" t="s">
        <v>1</v>
      </c>
      <c r="F92" s="83">
        <f t="shared" si="1"/>
        <v>14</v>
      </c>
      <c r="G92" s="83"/>
      <c r="H92" s="60">
        <f t="shared" si="2"/>
        <v>0</v>
      </c>
      <c r="I92" s="84"/>
      <c r="J92" s="84"/>
      <c r="K92" s="72"/>
    </row>
    <row r="93" spans="1:256" s="118" customFormat="1" ht="25.5" x14ac:dyDescent="0.2">
      <c r="A93" s="110"/>
      <c r="B93" s="99">
        <v>26</v>
      </c>
      <c r="C93" s="99">
        <v>183105215</v>
      </c>
      <c r="D93" s="111" t="s">
        <v>124</v>
      </c>
      <c r="E93" s="99" t="s">
        <v>1</v>
      </c>
      <c r="F93" s="112">
        <f t="shared" si="1"/>
        <v>1</v>
      </c>
      <c r="G93" s="112"/>
      <c r="H93" s="113">
        <f t="shared" si="2"/>
        <v>0</v>
      </c>
      <c r="I93" s="117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6"/>
      <c r="GI93" s="116"/>
      <c r="GJ93" s="116"/>
      <c r="GK93" s="116"/>
      <c r="GL93" s="116"/>
      <c r="GM93" s="116"/>
      <c r="GN93" s="116"/>
      <c r="GO93" s="116"/>
      <c r="GP93" s="116"/>
      <c r="GQ93" s="116"/>
      <c r="GR93" s="116"/>
      <c r="GS93" s="116"/>
      <c r="GT93" s="116"/>
      <c r="GU93" s="116"/>
      <c r="GV93" s="116"/>
      <c r="GW93" s="116"/>
      <c r="GX93" s="116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  <c r="HI93" s="116"/>
      <c r="HJ93" s="116"/>
      <c r="HK93" s="116"/>
      <c r="HL93" s="116"/>
      <c r="HM93" s="116"/>
      <c r="HN93" s="116"/>
      <c r="HO93" s="116"/>
      <c r="HP93" s="116"/>
      <c r="HQ93" s="116"/>
      <c r="HR93" s="116"/>
      <c r="HS93" s="116"/>
      <c r="HT93" s="116"/>
      <c r="HU93" s="116"/>
      <c r="HV93" s="116"/>
      <c r="HW93" s="116"/>
      <c r="HX93" s="116"/>
      <c r="HY93" s="116"/>
      <c r="HZ93" s="116"/>
      <c r="IA93" s="116"/>
      <c r="IB93" s="116"/>
      <c r="IC93" s="116"/>
      <c r="ID93" s="116"/>
      <c r="IE93" s="116"/>
      <c r="IF93" s="116"/>
      <c r="IG93" s="116"/>
      <c r="IH93" s="116"/>
      <c r="II93" s="116"/>
      <c r="IJ93" s="116"/>
      <c r="IK93" s="116"/>
      <c r="IL93" s="116"/>
      <c r="IM93" s="116"/>
      <c r="IN93" s="116"/>
      <c r="IO93" s="116"/>
      <c r="IP93" s="116"/>
      <c r="IQ93" s="116"/>
      <c r="IR93" s="116"/>
      <c r="IS93" s="116"/>
      <c r="IT93" s="116"/>
      <c r="IU93" s="116"/>
      <c r="IV93" s="116"/>
    </row>
    <row r="94" spans="1:256" s="61" customFormat="1" ht="26.25" customHeight="1" x14ac:dyDescent="0.2">
      <c r="A94" s="81"/>
      <c r="B94" s="59">
        <v>27</v>
      </c>
      <c r="C94" s="59">
        <v>183101221</v>
      </c>
      <c r="D94" s="82" t="s">
        <v>125</v>
      </c>
      <c r="E94" s="59" t="s">
        <v>1</v>
      </c>
      <c r="F94" s="83">
        <f t="shared" si="1"/>
        <v>41</v>
      </c>
      <c r="G94" s="83"/>
      <c r="H94" s="60">
        <f t="shared" si="2"/>
        <v>0</v>
      </c>
      <c r="I94" s="84"/>
      <c r="J94" s="84"/>
      <c r="K94" s="72"/>
    </row>
    <row r="95" spans="1:256" s="118" customFormat="1" ht="25.5" x14ac:dyDescent="0.2">
      <c r="A95" s="110"/>
      <c r="B95" s="99">
        <v>28</v>
      </c>
      <c r="C95" s="99">
        <v>183105221</v>
      </c>
      <c r="D95" s="111" t="s">
        <v>126</v>
      </c>
      <c r="E95" s="99" t="s">
        <v>1</v>
      </c>
      <c r="F95" s="112">
        <f t="shared" si="1"/>
        <v>4</v>
      </c>
      <c r="G95" s="112"/>
      <c r="H95" s="113">
        <f t="shared" si="2"/>
        <v>0</v>
      </c>
      <c r="I95" s="117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61" customFormat="1" ht="26.25" customHeight="1" x14ac:dyDescent="0.2">
      <c r="A96" s="81"/>
      <c r="B96" s="59">
        <v>29</v>
      </c>
      <c r="C96" s="59">
        <v>183211313</v>
      </c>
      <c r="D96" s="82" t="s">
        <v>118</v>
      </c>
      <c r="E96" s="59" t="s">
        <v>1</v>
      </c>
      <c r="F96" s="83">
        <f>+F193</f>
        <v>200</v>
      </c>
      <c r="G96" s="83"/>
      <c r="H96" s="60">
        <f>+F96*G96</f>
        <v>0</v>
      </c>
      <c r="I96" s="84"/>
      <c r="J96" s="84"/>
      <c r="K96" s="72"/>
    </row>
    <row r="97" spans="1:256" s="61" customFormat="1" ht="26.25" customHeight="1" x14ac:dyDescent="0.2">
      <c r="A97" s="81"/>
      <c r="B97" s="59">
        <v>30</v>
      </c>
      <c r="C97" s="59">
        <v>183211322</v>
      </c>
      <c r="D97" s="82" t="s">
        <v>117</v>
      </c>
      <c r="E97" s="59" t="s">
        <v>1</v>
      </c>
      <c r="F97" s="83">
        <f>+SUM(F183:F191)</f>
        <v>18</v>
      </c>
      <c r="G97" s="83"/>
      <c r="H97" s="60">
        <f t="shared" ref="H97:H136" si="3">G97*F97</f>
        <v>0</v>
      </c>
      <c r="I97" s="84"/>
      <c r="J97" s="84"/>
      <c r="K97" s="72"/>
    </row>
    <row r="98" spans="1:256" s="61" customFormat="1" ht="26.25" customHeight="1" x14ac:dyDescent="0.2">
      <c r="A98" s="81"/>
      <c r="B98" s="59">
        <v>31</v>
      </c>
      <c r="C98" s="59">
        <v>184102111</v>
      </c>
      <c r="D98" s="82" t="s">
        <v>114</v>
      </c>
      <c r="E98" s="59" t="s">
        <v>1</v>
      </c>
      <c r="F98" s="83">
        <f>+F169+F171+F173+F174+F175+F176+F177+F178</f>
        <v>360</v>
      </c>
      <c r="G98" s="83"/>
      <c r="H98" s="60">
        <f t="shared" si="3"/>
        <v>0</v>
      </c>
      <c r="I98" s="84"/>
      <c r="J98" s="84"/>
      <c r="K98" s="72"/>
    </row>
    <row r="99" spans="1:256" s="118" customFormat="1" ht="25.5" x14ac:dyDescent="0.2">
      <c r="A99" s="110"/>
      <c r="B99" s="99">
        <v>32</v>
      </c>
      <c r="C99" s="99">
        <v>184102131</v>
      </c>
      <c r="D99" s="111" t="s">
        <v>116</v>
      </c>
      <c r="E99" s="99" t="s">
        <v>1</v>
      </c>
      <c r="F99" s="112">
        <f>+F170+F172+F179</f>
        <v>100</v>
      </c>
      <c r="G99" s="112"/>
      <c r="H99" s="113">
        <f t="shared" si="3"/>
        <v>0</v>
      </c>
      <c r="I99" s="117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6"/>
      <c r="GF99" s="116"/>
      <c r="GG99" s="116"/>
      <c r="GH99" s="116"/>
      <c r="GI99" s="116"/>
      <c r="GJ99" s="116"/>
      <c r="GK99" s="116"/>
      <c r="GL99" s="116"/>
      <c r="GM99" s="116"/>
      <c r="GN99" s="116"/>
      <c r="GO99" s="116"/>
      <c r="GP99" s="116"/>
      <c r="GQ99" s="116"/>
      <c r="GR99" s="116"/>
      <c r="GS99" s="116"/>
      <c r="GT99" s="116"/>
      <c r="GU99" s="116"/>
      <c r="GV99" s="116"/>
      <c r="GW99" s="116"/>
      <c r="GX99" s="116"/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  <c r="HI99" s="116"/>
      <c r="HJ99" s="116"/>
      <c r="HK99" s="116"/>
      <c r="HL99" s="116"/>
      <c r="HM99" s="116"/>
      <c r="HN99" s="116"/>
      <c r="HO99" s="116"/>
      <c r="HP99" s="116"/>
      <c r="HQ99" s="116"/>
      <c r="HR99" s="116"/>
      <c r="HS99" s="116"/>
      <c r="HT99" s="116"/>
      <c r="HU99" s="116"/>
      <c r="HV99" s="116"/>
      <c r="HW99" s="116"/>
      <c r="HX99" s="116"/>
      <c r="HY99" s="116"/>
      <c r="HZ99" s="116"/>
      <c r="IA99" s="116"/>
      <c r="IB99" s="116"/>
      <c r="IC99" s="116"/>
      <c r="ID99" s="116"/>
      <c r="IE99" s="116"/>
      <c r="IF99" s="116"/>
      <c r="IG99" s="116"/>
      <c r="IH99" s="116"/>
      <c r="II99" s="116"/>
      <c r="IJ99" s="116"/>
      <c r="IK99" s="116"/>
      <c r="IL99" s="116"/>
      <c r="IM99" s="116"/>
      <c r="IN99" s="116"/>
      <c r="IO99" s="116"/>
      <c r="IP99" s="116"/>
      <c r="IQ99" s="116"/>
      <c r="IR99" s="116"/>
      <c r="IS99" s="116"/>
      <c r="IT99" s="116"/>
      <c r="IU99" s="116"/>
      <c r="IV99" s="116"/>
    </row>
    <row r="100" spans="1:256" s="61" customFormat="1" ht="26.25" customHeight="1" x14ac:dyDescent="0.2">
      <c r="A100" s="81"/>
      <c r="B100" s="59">
        <v>33</v>
      </c>
      <c r="C100" s="59">
        <v>184102113</v>
      </c>
      <c r="D100" s="82" t="s">
        <v>113</v>
      </c>
      <c r="E100" s="59" t="s">
        <v>1</v>
      </c>
      <c r="F100" s="83">
        <f>F180+F181</f>
        <v>12</v>
      </c>
      <c r="G100" s="83"/>
      <c r="H100" s="60">
        <f t="shared" si="3"/>
        <v>0</v>
      </c>
      <c r="I100" s="84"/>
      <c r="J100" s="84"/>
      <c r="K100" s="72"/>
    </row>
    <row r="101" spans="1:256" s="61" customFormat="1" ht="26.25" customHeight="1" x14ac:dyDescent="0.2">
      <c r="A101" s="81"/>
      <c r="B101" s="59">
        <v>34</v>
      </c>
      <c r="C101" s="59">
        <v>184102114</v>
      </c>
      <c r="D101" s="82" t="s">
        <v>111</v>
      </c>
      <c r="E101" s="59" t="s">
        <v>1</v>
      </c>
      <c r="F101" s="83">
        <f>+F140+F153+F157+F158+F166+F167</f>
        <v>14</v>
      </c>
      <c r="G101" s="83"/>
      <c r="H101" s="60">
        <f t="shared" si="3"/>
        <v>0</v>
      </c>
      <c r="I101" s="84"/>
      <c r="J101" s="84"/>
      <c r="K101" s="72"/>
    </row>
    <row r="102" spans="1:256" s="118" customFormat="1" ht="25.5" x14ac:dyDescent="0.2">
      <c r="A102" s="110"/>
      <c r="B102" s="99">
        <v>35</v>
      </c>
      <c r="C102" s="99">
        <v>184102134</v>
      </c>
      <c r="D102" s="111" t="s">
        <v>112</v>
      </c>
      <c r="E102" s="99" t="s">
        <v>1</v>
      </c>
      <c r="F102" s="112">
        <f>+F139</f>
        <v>1</v>
      </c>
      <c r="G102" s="112"/>
      <c r="H102" s="113">
        <f t="shared" si="3"/>
        <v>0</v>
      </c>
      <c r="I102" s="117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61" customFormat="1" ht="26.25" customHeight="1" x14ac:dyDescent="0.2">
      <c r="A103" s="81"/>
      <c r="B103" s="59">
        <v>36</v>
      </c>
      <c r="C103" s="59">
        <v>184102115</v>
      </c>
      <c r="D103" s="82" t="s">
        <v>109</v>
      </c>
      <c r="E103" s="59" t="s">
        <v>1</v>
      </c>
      <c r="F103" s="83">
        <f>+F142+F144+F145+F146+F147+F148+F150+F151+F152+F154+F155+F156+F159+F161+F162+F163+F164+F165+F160+F149</f>
        <v>41</v>
      </c>
      <c r="G103" s="83"/>
      <c r="H103" s="60">
        <f t="shared" si="3"/>
        <v>0</v>
      </c>
      <c r="I103" s="84"/>
      <c r="J103" s="84"/>
      <c r="K103" s="72"/>
    </row>
    <row r="104" spans="1:256" s="118" customFormat="1" ht="25.5" x14ac:dyDescent="0.2">
      <c r="A104" s="110"/>
      <c r="B104" s="99">
        <v>37</v>
      </c>
      <c r="C104" s="99">
        <v>184102135</v>
      </c>
      <c r="D104" s="111" t="s">
        <v>110</v>
      </c>
      <c r="E104" s="99" t="s">
        <v>1</v>
      </c>
      <c r="F104" s="112">
        <f>+F141+F143</f>
        <v>4</v>
      </c>
      <c r="G104" s="112"/>
      <c r="H104" s="113">
        <f t="shared" si="3"/>
        <v>0</v>
      </c>
      <c r="I104" s="117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61" customFormat="1" ht="26.25" customHeight="1" x14ac:dyDescent="0.2">
      <c r="A105" s="81"/>
      <c r="B105" s="59">
        <v>38</v>
      </c>
      <c r="C105" s="59">
        <v>184215113</v>
      </c>
      <c r="D105" s="82" t="s">
        <v>127</v>
      </c>
      <c r="E105" s="59" t="s">
        <v>1</v>
      </c>
      <c r="F105" s="83">
        <f>+F166+F167</f>
        <v>6</v>
      </c>
      <c r="G105" s="83"/>
      <c r="H105" s="60">
        <f t="shared" si="3"/>
        <v>0</v>
      </c>
      <c r="I105" s="84"/>
      <c r="J105" s="84"/>
      <c r="K105" s="72"/>
    </row>
    <row r="106" spans="1:256" s="61" customFormat="1" ht="26.25" customHeight="1" x14ac:dyDescent="0.2">
      <c r="A106" s="81"/>
      <c r="B106" s="59">
        <v>39</v>
      </c>
      <c r="C106" s="59">
        <v>184215133</v>
      </c>
      <c r="D106" s="82" t="s">
        <v>128</v>
      </c>
      <c r="E106" s="59" t="s">
        <v>1</v>
      </c>
      <c r="F106" s="83">
        <f>+SUM(F139:F165)</f>
        <v>54</v>
      </c>
      <c r="G106" s="83"/>
      <c r="H106" s="60">
        <f t="shared" si="3"/>
        <v>0</v>
      </c>
      <c r="I106" s="84"/>
      <c r="J106" s="84"/>
      <c r="K106" s="72"/>
    </row>
    <row r="107" spans="1:256" s="61" customFormat="1" ht="26.25" customHeight="1" x14ac:dyDescent="0.2">
      <c r="A107" s="81"/>
      <c r="B107" s="59">
        <v>40</v>
      </c>
      <c r="C107" s="59">
        <v>184215412</v>
      </c>
      <c r="D107" s="82" t="s">
        <v>129</v>
      </c>
      <c r="E107" s="59" t="s">
        <v>1</v>
      </c>
      <c r="F107" s="83">
        <f>+F103+F101</f>
        <v>55</v>
      </c>
      <c r="G107" s="83"/>
      <c r="H107" s="60">
        <f t="shared" si="3"/>
        <v>0</v>
      </c>
      <c r="I107" s="84"/>
      <c r="J107" s="84"/>
      <c r="K107" s="72"/>
    </row>
    <row r="108" spans="1:256" s="118" customFormat="1" ht="12.75" x14ac:dyDescent="0.2">
      <c r="A108" s="110"/>
      <c r="B108" s="99">
        <v>41</v>
      </c>
      <c r="C108" s="99">
        <v>184215432</v>
      </c>
      <c r="D108" s="111" t="s">
        <v>130</v>
      </c>
      <c r="E108" s="99" t="s">
        <v>1</v>
      </c>
      <c r="F108" s="112">
        <f>+F104+F102</f>
        <v>5</v>
      </c>
      <c r="G108" s="112"/>
      <c r="H108" s="113">
        <f t="shared" si="3"/>
        <v>0</v>
      </c>
      <c r="I108" s="117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61" customFormat="1" ht="26.25" customHeight="1" x14ac:dyDescent="0.2">
      <c r="A109" s="81"/>
      <c r="B109" s="59">
        <v>42</v>
      </c>
      <c r="C109" s="59" t="s">
        <v>12</v>
      </c>
      <c r="D109" s="82" t="s">
        <v>48</v>
      </c>
      <c r="E109" s="59" t="s">
        <v>1</v>
      </c>
      <c r="F109" s="83">
        <f>+SUM(F139:F167)-F149-F146</f>
        <v>57</v>
      </c>
      <c r="G109" s="83"/>
      <c r="H109" s="60">
        <f t="shared" si="3"/>
        <v>0</v>
      </c>
      <c r="I109" s="84"/>
      <c r="J109" s="84"/>
      <c r="K109" s="72"/>
    </row>
    <row r="110" spans="1:256" s="61" customFormat="1" ht="26.25" customHeight="1" x14ac:dyDescent="0.2">
      <c r="A110" s="81"/>
      <c r="B110" s="59">
        <v>43</v>
      </c>
      <c r="C110" s="59" t="s">
        <v>12</v>
      </c>
      <c r="D110" s="82" t="s">
        <v>140</v>
      </c>
      <c r="E110" s="59" t="s">
        <v>1</v>
      </c>
      <c r="F110" s="83">
        <f>+F136</f>
        <v>55</v>
      </c>
      <c r="G110" s="83"/>
      <c r="H110" s="60">
        <f t="shared" si="3"/>
        <v>0</v>
      </c>
      <c r="I110" s="84"/>
      <c r="J110" s="84"/>
      <c r="K110" s="72"/>
    </row>
    <row r="111" spans="1:256" ht="38.25" x14ac:dyDescent="0.2">
      <c r="A111" s="81"/>
      <c r="B111" s="59">
        <v>44</v>
      </c>
      <c r="C111" s="59">
        <v>185802114</v>
      </c>
      <c r="D111" s="82" t="s">
        <v>132</v>
      </c>
      <c r="E111" s="59" t="s">
        <v>2</v>
      </c>
      <c r="F111" s="83">
        <f>+(55*10+372*2)*10*0.001*0.001</f>
        <v>1.294E-2</v>
      </c>
      <c r="G111" s="83"/>
      <c r="H111" s="60">
        <f t="shared" si="3"/>
        <v>0</v>
      </c>
      <c r="I111" s="93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</row>
    <row r="112" spans="1:256" s="118" customFormat="1" ht="25.5" x14ac:dyDescent="0.2">
      <c r="A112" s="110"/>
      <c r="B112" s="99">
        <v>45</v>
      </c>
      <c r="C112" s="99">
        <v>185802134</v>
      </c>
      <c r="D112" s="111" t="s">
        <v>133</v>
      </c>
      <c r="E112" s="99" t="s">
        <v>2</v>
      </c>
      <c r="F112" s="112">
        <f>+(5*10+100*2)*10*0.001*0.001</f>
        <v>2.5000000000000001E-3</v>
      </c>
      <c r="G112" s="112"/>
      <c r="H112" s="113">
        <f t="shared" si="3"/>
        <v>0</v>
      </c>
      <c r="I112" s="117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ht="51" x14ac:dyDescent="0.2">
      <c r="A113" s="81"/>
      <c r="B113" s="59">
        <v>46</v>
      </c>
      <c r="C113" s="59">
        <v>185802114</v>
      </c>
      <c r="D113" s="82" t="s">
        <v>134</v>
      </c>
      <c r="E113" s="59" t="s">
        <v>2</v>
      </c>
      <c r="F113" s="83">
        <f>+(55*300+372*60)*0.001*0.001</f>
        <v>3.882E-2</v>
      </c>
      <c r="G113" s="83"/>
      <c r="H113" s="60">
        <f t="shared" si="3"/>
        <v>0</v>
      </c>
      <c r="I113" s="93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</row>
    <row r="114" spans="1:256" s="118" customFormat="1" ht="38.25" x14ac:dyDescent="0.2">
      <c r="A114" s="110"/>
      <c r="B114" s="99">
        <v>47</v>
      </c>
      <c r="C114" s="99">
        <v>185802134</v>
      </c>
      <c r="D114" s="111" t="s">
        <v>135</v>
      </c>
      <c r="E114" s="99" t="s">
        <v>2</v>
      </c>
      <c r="F114" s="112">
        <f>+(5*300+100*60)*0.001*0.001</f>
        <v>7.4999999999999997E-3</v>
      </c>
      <c r="G114" s="112"/>
      <c r="H114" s="113">
        <f t="shared" si="3"/>
        <v>0</v>
      </c>
      <c r="I114" s="117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6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16"/>
      <c r="FI114" s="116"/>
      <c r="FJ114" s="116"/>
      <c r="FK114" s="116"/>
      <c r="FL114" s="116"/>
      <c r="FM114" s="116"/>
      <c r="FN114" s="116"/>
      <c r="FO114" s="116"/>
      <c r="FP114" s="116"/>
      <c r="FQ114" s="116"/>
      <c r="FR114" s="116"/>
      <c r="FS114" s="116"/>
      <c r="FT114" s="116"/>
      <c r="FU114" s="116"/>
      <c r="FV114" s="116"/>
      <c r="FW114" s="116"/>
      <c r="FX114" s="116"/>
      <c r="FY114" s="116"/>
      <c r="FZ114" s="116"/>
      <c r="GA114" s="116"/>
      <c r="GB114" s="116"/>
      <c r="GC114" s="116"/>
      <c r="GD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61" customFormat="1" ht="26.25" customHeight="1" x14ac:dyDescent="0.2">
      <c r="A115" s="81"/>
      <c r="B115" s="59">
        <v>48</v>
      </c>
      <c r="C115" s="59">
        <v>185851121</v>
      </c>
      <c r="D115" s="82" t="s">
        <v>136</v>
      </c>
      <c r="E115" s="59" t="s">
        <v>9</v>
      </c>
      <c r="F115" s="83">
        <f>+(60*0.1+472*0.02+18*0.005)</f>
        <v>15.53</v>
      </c>
      <c r="G115" s="83"/>
      <c r="H115" s="60">
        <f t="shared" si="3"/>
        <v>0</v>
      </c>
      <c r="I115" s="84"/>
      <c r="J115" s="84"/>
      <c r="K115" s="72"/>
    </row>
    <row r="116" spans="1:256" s="61" customFormat="1" ht="26.25" customHeight="1" x14ac:dyDescent="0.2">
      <c r="A116" s="81"/>
      <c r="B116" s="59">
        <v>49</v>
      </c>
      <c r="C116" s="59">
        <v>185851129</v>
      </c>
      <c r="D116" s="82" t="s">
        <v>27</v>
      </c>
      <c r="E116" s="59" t="s">
        <v>9</v>
      </c>
      <c r="F116" s="83">
        <f>+F115</f>
        <v>15.53</v>
      </c>
      <c r="G116" s="83"/>
      <c r="H116" s="60">
        <f t="shared" si="3"/>
        <v>0</v>
      </c>
      <c r="I116" s="84"/>
      <c r="J116" s="84"/>
      <c r="K116" s="72"/>
    </row>
    <row r="117" spans="1:256" s="61" customFormat="1" ht="26.25" customHeight="1" x14ac:dyDescent="0.2">
      <c r="A117" s="81"/>
      <c r="B117" s="59">
        <v>50</v>
      </c>
      <c r="C117" s="59">
        <v>184911421</v>
      </c>
      <c r="D117" s="82" t="s">
        <v>144</v>
      </c>
      <c r="E117" s="59" t="s">
        <v>0</v>
      </c>
      <c r="F117" s="83">
        <f>+(55*3.14*0.5*0.5)+208</f>
        <v>251.17500000000001</v>
      </c>
      <c r="G117" s="83"/>
      <c r="H117" s="60">
        <f t="shared" si="3"/>
        <v>0</v>
      </c>
      <c r="I117" s="84"/>
      <c r="J117" s="84"/>
      <c r="K117" s="72"/>
    </row>
    <row r="118" spans="1:256" s="118" customFormat="1" ht="25.5" x14ac:dyDescent="0.2">
      <c r="A118" s="110"/>
      <c r="B118" s="99">
        <v>51</v>
      </c>
      <c r="C118" s="99">
        <v>184911423</v>
      </c>
      <c r="D118" s="111" t="s">
        <v>143</v>
      </c>
      <c r="E118" s="99" t="s">
        <v>0</v>
      </c>
      <c r="F118" s="112">
        <f>+(5*3.14*0.5*0.5)+100</f>
        <v>103.925</v>
      </c>
      <c r="G118" s="112"/>
      <c r="H118" s="113">
        <f t="shared" si="3"/>
        <v>0</v>
      </c>
      <c r="I118" s="117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ht="25.5" x14ac:dyDescent="0.2">
      <c r="A119" s="81"/>
      <c r="B119" s="59">
        <v>52</v>
      </c>
      <c r="C119" s="59">
        <v>184911161</v>
      </c>
      <c r="D119" s="82" t="s">
        <v>146</v>
      </c>
      <c r="E119" s="59" t="s">
        <v>0</v>
      </c>
      <c r="F119" s="83">
        <v>2</v>
      </c>
      <c r="G119" s="83"/>
      <c r="H119" s="60">
        <f t="shared" si="3"/>
        <v>0</v>
      </c>
      <c r="I119" s="93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</row>
    <row r="120" spans="1:256" ht="12.75" x14ac:dyDescent="0.2">
      <c r="A120" s="81"/>
      <c r="B120" s="59">
        <v>53</v>
      </c>
      <c r="C120" s="59">
        <v>184851412</v>
      </c>
      <c r="D120" s="82" t="s">
        <v>201</v>
      </c>
      <c r="E120" s="59" t="s">
        <v>1</v>
      </c>
      <c r="F120" s="83">
        <f>+SUM(F169:F181)-100</f>
        <v>372</v>
      </c>
      <c r="G120" s="83"/>
      <c r="H120" s="60">
        <f t="shared" si="3"/>
        <v>0</v>
      </c>
      <c r="I120" s="97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</row>
    <row r="121" spans="1:256" ht="12.75" x14ac:dyDescent="0.2">
      <c r="A121" s="81"/>
      <c r="B121" s="59">
        <v>54</v>
      </c>
      <c r="C121" s="59">
        <v>184851422</v>
      </c>
      <c r="D121" s="82" t="s">
        <v>202</v>
      </c>
      <c r="E121" s="59" t="s">
        <v>1</v>
      </c>
      <c r="F121" s="83">
        <v>100</v>
      </c>
      <c r="G121" s="83"/>
      <c r="H121" s="60">
        <f t="shared" si="3"/>
        <v>0</v>
      </c>
      <c r="I121" s="97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</row>
    <row r="122" spans="1:256" ht="12.75" x14ac:dyDescent="0.2">
      <c r="A122" s="81"/>
      <c r="B122" s="59">
        <v>55</v>
      </c>
      <c r="C122" s="59">
        <v>184806132</v>
      </c>
      <c r="D122" s="82" t="s">
        <v>203</v>
      </c>
      <c r="E122" s="59" t="s">
        <v>1</v>
      </c>
      <c r="F122" s="83">
        <v>60</v>
      </c>
      <c r="G122" s="83"/>
      <c r="H122" s="60">
        <f t="shared" si="3"/>
        <v>0</v>
      </c>
      <c r="I122" s="97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</row>
    <row r="123" spans="1:256" ht="25.5" x14ac:dyDescent="0.2">
      <c r="A123" s="81"/>
      <c r="B123" s="59">
        <v>56</v>
      </c>
      <c r="C123" s="59">
        <v>998231311</v>
      </c>
      <c r="D123" s="82" t="s">
        <v>148</v>
      </c>
      <c r="E123" s="59" t="s">
        <v>2</v>
      </c>
      <c r="F123" s="83">
        <f>(F126+F127)*0.5+F130*0.3+F131*1.8+F111+F135*0.001+F112+F132*0.003+F113++F114+F125*0.75*360*0.001*0.001</f>
        <v>28.585240000000006</v>
      </c>
      <c r="G123" s="83"/>
      <c r="H123" s="60">
        <f t="shared" si="3"/>
        <v>0</v>
      </c>
      <c r="I123" s="93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</row>
    <row r="124" spans="1:256" ht="12.75" x14ac:dyDescent="0.2">
      <c r="A124" s="81"/>
      <c r="B124" s="59">
        <v>57</v>
      </c>
      <c r="C124" s="59" t="s">
        <v>3</v>
      </c>
      <c r="D124" s="82" t="s">
        <v>25</v>
      </c>
      <c r="E124" s="59" t="s">
        <v>21</v>
      </c>
      <c r="F124" s="83">
        <f>10*(F82+F83)/10000</f>
        <v>0.308</v>
      </c>
      <c r="G124" s="83"/>
      <c r="H124" s="60">
        <f t="shared" si="3"/>
        <v>0</v>
      </c>
      <c r="I124" s="93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</row>
    <row r="125" spans="1:256" ht="12.75" x14ac:dyDescent="0.2">
      <c r="A125" s="81"/>
      <c r="B125" s="59">
        <v>58</v>
      </c>
      <c r="C125" s="59" t="s">
        <v>3</v>
      </c>
      <c r="D125" s="82" t="s">
        <v>46</v>
      </c>
      <c r="E125" s="59" t="s">
        <v>22</v>
      </c>
      <c r="F125" s="83">
        <f>+F86</f>
        <v>14</v>
      </c>
      <c r="G125" s="83"/>
      <c r="H125" s="60">
        <f t="shared" si="3"/>
        <v>0</v>
      </c>
      <c r="I125" s="97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</row>
    <row r="126" spans="1:256" ht="25.5" x14ac:dyDescent="0.2">
      <c r="A126" s="81"/>
      <c r="B126" s="59">
        <v>59</v>
      </c>
      <c r="C126" s="59" t="s">
        <v>3</v>
      </c>
      <c r="D126" s="82" t="s">
        <v>145</v>
      </c>
      <c r="E126" s="59" t="s">
        <v>9</v>
      </c>
      <c r="F126" s="83">
        <f>+(45*1*0.5)+(15*0.4*0.5)+(15*0.4*0.5)+(12*0.125*0.5)+(460*0.02*0.5)</f>
        <v>33.85</v>
      </c>
      <c r="G126" s="83"/>
      <c r="H126" s="60">
        <f t="shared" si="3"/>
        <v>0</v>
      </c>
      <c r="I126" s="93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61"/>
      <c r="HP126" s="61"/>
      <c r="HQ126" s="61"/>
      <c r="HR126" s="61"/>
      <c r="HS126" s="61"/>
      <c r="HT126" s="61"/>
      <c r="HU126" s="61"/>
      <c r="HV126" s="61"/>
      <c r="HW126" s="61"/>
      <c r="HX126" s="61"/>
      <c r="HY126" s="61"/>
      <c r="HZ126" s="61"/>
      <c r="IA126" s="61"/>
      <c r="IB126" s="61"/>
      <c r="IC126" s="61"/>
      <c r="ID126" s="61"/>
      <c r="IE126" s="61"/>
      <c r="IF126" s="61"/>
      <c r="IG126" s="61"/>
      <c r="IH126" s="61"/>
      <c r="II126" s="61"/>
      <c r="IJ126" s="61"/>
      <c r="IK126" s="61"/>
      <c r="IL126" s="61"/>
      <c r="IM126" s="61"/>
      <c r="IN126" s="61"/>
      <c r="IO126" s="61"/>
      <c r="IP126" s="61"/>
      <c r="IQ126" s="61"/>
      <c r="IR126" s="61"/>
      <c r="IS126" s="61"/>
      <c r="IT126" s="61"/>
      <c r="IU126" s="61"/>
      <c r="IV126" s="61"/>
    </row>
    <row r="127" spans="1:256" ht="25.5" x14ac:dyDescent="0.2">
      <c r="A127" s="81"/>
      <c r="B127" s="59">
        <v>60</v>
      </c>
      <c r="C127" s="59" t="s">
        <v>3</v>
      </c>
      <c r="D127" s="82" t="s">
        <v>170</v>
      </c>
      <c r="E127" s="59" t="s">
        <v>9</v>
      </c>
      <c r="F127" s="83">
        <f>+(2*0.18)</f>
        <v>0.36</v>
      </c>
      <c r="G127" s="83"/>
      <c r="H127" s="60">
        <f t="shared" si="3"/>
        <v>0</v>
      </c>
      <c r="I127" s="93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</row>
    <row r="128" spans="1:256" ht="12.75" x14ac:dyDescent="0.2">
      <c r="A128" s="81"/>
      <c r="B128" s="59">
        <v>61</v>
      </c>
      <c r="C128" s="59" t="s">
        <v>3</v>
      </c>
      <c r="D128" s="82" t="s">
        <v>45</v>
      </c>
      <c r="E128" s="59" t="s">
        <v>14</v>
      </c>
      <c r="F128" s="83">
        <f>+(F113+F114)*1000</f>
        <v>46.32</v>
      </c>
      <c r="G128" s="83"/>
      <c r="H128" s="60">
        <f t="shared" si="3"/>
        <v>0</v>
      </c>
      <c r="I128" s="93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</row>
    <row r="129" spans="1:257" ht="12.75" x14ac:dyDescent="0.2">
      <c r="A129" s="81"/>
      <c r="B129" s="59">
        <v>62</v>
      </c>
      <c r="C129" s="59" t="s">
        <v>3</v>
      </c>
      <c r="D129" s="82" t="s">
        <v>44</v>
      </c>
      <c r="E129" s="59" t="s">
        <v>1</v>
      </c>
      <c r="F129" s="83">
        <f>(F111+F112)*1000*1000/10</f>
        <v>1544.0000000000002</v>
      </c>
      <c r="G129" s="83"/>
      <c r="H129" s="60">
        <f t="shared" si="3"/>
        <v>0</v>
      </c>
      <c r="I129" s="93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</row>
    <row r="130" spans="1:257" ht="12.75" x14ac:dyDescent="0.2">
      <c r="A130" s="81"/>
      <c r="B130" s="59">
        <v>63</v>
      </c>
      <c r="C130" s="59" t="s">
        <v>3</v>
      </c>
      <c r="D130" s="82" t="s">
        <v>15</v>
      </c>
      <c r="E130" s="59" t="s">
        <v>9</v>
      </c>
      <c r="F130" s="83">
        <f>+(F117+F118)*0.1</f>
        <v>35.510000000000005</v>
      </c>
      <c r="G130" s="83"/>
      <c r="H130" s="60">
        <f t="shared" si="3"/>
        <v>0</v>
      </c>
      <c r="I130" s="93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</row>
    <row r="131" spans="1:257" ht="25.5" x14ac:dyDescent="0.2">
      <c r="A131" s="81"/>
      <c r="B131" s="59">
        <v>64</v>
      </c>
      <c r="C131" s="59" t="s">
        <v>3</v>
      </c>
      <c r="D131" s="82" t="s">
        <v>147</v>
      </c>
      <c r="E131" s="59" t="s">
        <v>9</v>
      </c>
      <c r="F131" s="83">
        <f>+(2*0.07)</f>
        <v>0.14000000000000001</v>
      </c>
      <c r="G131" s="83"/>
      <c r="H131" s="60">
        <f t="shared" si="3"/>
        <v>0</v>
      </c>
      <c r="I131" s="93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</row>
    <row r="132" spans="1:257" ht="12.75" x14ac:dyDescent="0.2">
      <c r="A132" s="81"/>
      <c r="B132" s="59">
        <v>65</v>
      </c>
      <c r="C132" s="59" t="s">
        <v>3</v>
      </c>
      <c r="D132" s="82" t="s">
        <v>137</v>
      </c>
      <c r="E132" s="59" t="s">
        <v>1</v>
      </c>
      <c r="F132" s="83">
        <f>+(54*3)+6</f>
        <v>168</v>
      </c>
      <c r="G132" s="83"/>
      <c r="H132" s="60">
        <f t="shared" si="3"/>
        <v>0</v>
      </c>
      <c r="I132" s="93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</row>
    <row r="133" spans="1:257" ht="12.75" x14ac:dyDescent="0.2">
      <c r="A133" s="81"/>
      <c r="B133" s="59">
        <v>66</v>
      </c>
      <c r="C133" s="59" t="s">
        <v>3</v>
      </c>
      <c r="D133" s="82" t="s">
        <v>138</v>
      </c>
      <c r="E133" s="59" t="s">
        <v>1</v>
      </c>
      <c r="F133" s="83">
        <f>54*6</f>
        <v>324</v>
      </c>
      <c r="G133" s="83"/>
      <c r="H133" s="60">
        <f t="shared" si="3"/>
        <v>0</v>
      </c>
      <c r="I133" s="93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</row>
    <row r="134" spans="1:257" ht="12.75" x14ac:dyDescent="0.2">
      <c r="A134" s="81"/>
      <c r="B134" s="59">
        <v>67</v>
      </c>
      <c r="C134" s="59" t="s">
        <v>3</v>
      </c>
      <c r="D134" s="82" t="s">
        <v>139</v>
      </c>
      <c r="E134" s="59" t="s">
        <v>22</v>
      </c>
      <c r="F134" s="83">
        <f>+F132</f>
        <v>168</v>
      </c>
      <c r="G134" s="83"/>
      <c r="H134" s="60">
        <f t="shared" si="3"/>
        <v>0</v>
      </c>
      <c r="I134" s="95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</row>
    <row r="135" spans="1:257" ht="38.25" x14ac:dyDescent="0.2">
      <c r="A135" s="81"/>
      <c r="B135" s="59">
        <v>68</v>
      </c>
      <c r="C135" s="59" t="s">
        <v>3</v>
      </c>
      <c r="D135" s="82" t="s">
        <v>204</v>
      </c>
      <c r="E135" s="59" t="s">
        <v>14</v>
      </c>
      <c r="F135" s="83">
        <f>F109*0.1</f>
        <v>5.7</v>
      </c>
      <c r="G135" s="83"/>
      <c r="H135" s="60">
        <f t="shared" si="3"/>
        <v>0</v>
      </c>
      <c r="I135" s="95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</row>
    <row r="136" spans="1:257" ht="25.5" x14ac:dyDescent="0.2">
      <c r="A136" s="81"/>
      <c r="B136" s="59">
        <v>69</v>
      </c>
      <c r="C136" s="59" t="s">
        <v>3</v>
      </c>
      <c r="D136" s="82" t="s">
        <v>141</v>
      </c>
      <c r="E136" s="59" t="s">
        <v>1</v>
      </c>
      <c r="F136" s="83">
        <v>55</v>
      </c>
      <c r="G136" s="83"/>
      <c r="H136" s="60">
        <f t="shared" si="3"/>
        <v>0</v>
      </c>
      <c r="I136" s="95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</row>
    <row r="137" spans="1:257" s="9" customFormat="1" ht="12.75" x14ac:dyDescent="0.2">
      <c r="A137" s="52"/>
      <c r="B137" s="52"/>
      <c r="C137" s="54" t="s">
        <v>6</v>
      </c>
      <c r="D137" s="54"/>
      <c r="E137" s="52"/>
      <c r="F137" s="55"/>
      <c r="G137" s="55"/>
      <c r="H137" s="56"/>
      <c r="I137" s="57"/>
      <c r="J137" s="52"/>
      <c r="K137" s="58"/>
      <c r="L137" s="52"/>
      <c r="M137" s="53"/>
      <c r="N137" s="52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75"/>
    </row>
    <row r="138" spans="1:257" ht="12.75" x14ac:dyDescent="0.2">
      <c r="A138" s="52" t="s">
        <v>43</v>
      </c>
      <c r="B138" s="52" t="s">
        <v>10</v>
      </c>
      <c r="C138" s="54" t="s">
        <v>7</v>
      </c>
      <c r="D138" s="54" t="s">
        <v>50</v>
      </c>
      <c r="E138" s="52" t="s">
        <v>4</v>
      </c>
      <c r="F138" s="55" t="s">
        <v>5</v>
      </c>
      <c r="G138" s="55" t="s">
        <v>11</v>
      </c>
      <c r="H138" s="56" t="s">
        <v>8</v>
      </c>
      <c r="I138" s="57"/>
      <c r="J138" s="52"/>
      <c r="K138" s="58"/>
      <c r="L138" s="52"/>
      <c r="M138" s="53"/>
      <c r="N138" s="52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</row>
    <row r="139" spans="1:257" s="118" customFormat="1" ht="12.75" x14ac:dyDescent="0.2">
      <c r="A139" s="110">
        <v>50</v>
      </c>
      <c r="B139" s="99">
        <v>70</v>
      </c>
      <c r="C139" s="99" t="s">
        <v>91</v>
      </c>
      <c r="D139" s="111" t="s">
        <v>51</v>
      </c>
      <c r="E139" s="99" t="s">
        <v>1</v>
      </c>
      <c r="F139" s="112">
        <v>1</v>
      </c>
      <c r="G139" s="112"/>
      <c r="H139" s="113">
        <f t="shared" ref="H139:H147" si="4">G139*F139</f>
        <v>0</v>
      </c>
      <c r="I139" s="117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  <c r="ES139" s="116"/>
      <c r="ET139" s="116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116"/>
      <c r="FE139" s="116"/>
      <c r="FF139" s="116"/>
      <c r="FG139" s="116"/>
      <c r="FH139" s="116"/>
      <c r="FI139" s="116"/>
      <c r="FJ139" s="116"/>
      <c r="FK139" s="116"/>
      <c r="FL139" s="116"/>
      <c r="FM139" s="116"/>
      <c r="FN139" s="116"/>
      <c r="FO139" s="116"/>
      <c r="FP139" s="116"/>
      <c r="FQ139" s="116"/>
      <c r="FR139" s="116"/>
      <c r="FS139" s="116"/>
      <c r="FT139" s="116"/>
      <c r="FU139" s="116"/>
      <c r="FV139" s="116"/>
      <c r="FW139" s="116"/>
      <c r="FX139" s="116"/>
      <c r="FY139" s="116"/>
      <c r="FZ139" s="116"/>
      <c r="GA139" s="116"/>
      <c r="GB139" s="116"/>
      <c r="GC139" s="116"/>
      <c r="GD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7" ht="12.75" x14ac:dyDescent="0.2">
      <c r="A140" s="81">
        <v>50</v>
      </c>
      <c r="B140" s="59">
        <v>71</v>
      </c>
      <c r="C140" s="59" t="s">
        <v>91</v>
      </c>
      <c r="D140" s="82" t="s">
        <v>51</v>
      </c>
      <c r="E140" s="59" t="s">
        <v>1</v>
      </c>
      <c r="F140" s="83">
        <v>2</v>
      </c>
      <c r="G140" s="83"/>
      <c r="H140" s="60">
        <f t="shared" si="4"/>
        <v>0</v>
      </c>
      <c r="I140" s="93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</row>
    <row r="141" spans="1:257" s="118" customFormat="1" ht="12.75" x14ac:dyDescent="0.2">
      <c r="A141" s="110">
        <v>60</v>
      </c>
      <c r="B141" s="99">
        <v>72</v>
      </c>
      <c r="C141" s="99" t="s">
        <v>41</v>
      </c>
      <c r="D141" s="111" t="s">
        <v>52</v>
      </c>
      <c r="E141" s="99" t="s">
        <v>1</v>
      </c>
      <c r="F141" s="112">
        <v>2</v>
      </c>
      <c r="G141" s="112"/>
      <c r="H141" s="113">
        <f t="shared" si="4"/>
        <v>0</v>
      </c>
      <c r="I141" s="117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116"/>
      <c r="EJ141" s="116"/>
      <c r="EK141" s="116"/>
      <c r="EL141" s="116"/>
      <c r="EM141" s="116"/>
      <c r="EN141" s="116"/>
      <c r="EO141" s="116"/>
      <c r="EP141" s="116"/>
      <c r="EQ141" s="116"/>
      <c r="ER141" s="116"/>
      <c r="ES141" s="116"/>
      <c r="ET141" s="116"/>
      <c r="EU141" s="116"/>
      <c r="EV141" s="116"/>
      <c r="EW141" s="116"/>
      <c r="EX141" s="116"/>
      <c r="EY141" s="116"/>
      <c r="EZ141" s="116"/>
      <c r="FA141" s="116"/>
      <c r="FB141" s="116"/>
      <c r="FC141" s="116"/>
      <c r="FD141" s="116"/>
      <c r="FE141" s="116"/>
      <c r="FF141" s="116"/>
      <c r="FG141" s="116"/>
      <c r="FH141" s="116"/>
      <c r="FI141" s="116"/>
      <c r="FJ141" s="116"/>
      <c r="FK141" s="116"/>
      <c r="FL141" s="116"/>
      <c r="FM141" s="116"/>
      <c r="FN141" s="116"/>
      <c r="FO141" s="116"/>
      <c r="FP141" s="116"/>
      <c r="FQ141" s="116"/>
      <c r="FR141" s="116"/>
      <c r="FS141" s="116"/>
      <c r="FT141" s="116"/>
      <c r="FU141" s="116"/>
      <c r="FV141" s="116"/>
      <c r="FW141" s="116"/>
      <c r="FX141" s="116"/>
      <c r="FY141" s="116"/>
      <c r="FZ141" s="116"/>
      <c r="GA141" s="116"/>
      <c r="GB141" s="116"/>
      <c r="GC141" s="116"/>
      <c r="GD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7" ht="12.75" x14ac:dyDescent="0.2">
      <c r="A142" s="81">
        <v>60</v>
      </c>
      <c r="B142" s="59">
        <v>73</v>
      </c>
      <c r="C142" s="59" t="s">
        <v>41</v>
      </c>
      <c r="D142" s="82" t="s">
        <v>39</v>
      </c>
      <c r="E142" s="59" t="s">
        <v>1</v>
      </c>
      <c r="F142" s="83">
        <v>11</v>
      </c>
      <c r="G142" s="83"/>
      <c r="H142" s="60">
        <f t="shared" si="4"/>
        <v>0</v>
      </c>
      <c r="I142" s="93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</row>
    <row r="143" spans="1:257" s="118" customFormat="1" ht="12.75" x14ac:dyDescent="0.2">
      <c r="A143" s="110">
        <v>60</v>
      </c>
      <c r="B143" s="99">
        <v>74</v>
      </c>
      <c r="C143" s="99" t="s">
        <v>41</v>
      </c>
      <c r="D143" s="111" t="s">
        <v>39</v>
      </c>
      <c r="E143" s="99" t="s">
        <v>1</v>
      </c>
      <c r="F143" s="112">
        <v>2</v>
      </c>
      <c r="G143" s="112"/>
      <c r="H143" s="113">
        <f t="shared" si="4"/>
        <v>0</v>
      </c>
      <c r="I143" s="117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  <c r="ES143" s="116"/>
      <c r="ET143" s="116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116"/>
      <c r="FE143" s="116"/>
      <c r="FF143" s="116"/>
      <c r="FG143" s="116"/>
      <c r="FH143" s="116"/>
      <c r="FI143" s="116"/>
      <c r="FJ143" s="116"/>
      <c r="FK143" s="116"/>
      <c r="FL143" s="116"/>
      <c r="FM143" s="116"/>
      <c r="FN143" s="116"/>
      <c r="FO143" s="116"/>
      <c r="FP143" s="116"/>
      <c r="FQ143" s="116"/>
      <c r="FR143" s="116"/>
      <c r="FS143" s="116"/>
      <c r="FT143" s="116"/>
      <c r="FU143" s="116"/>
      <c r="FV143" s="116"/>
      <c r="FW143" s="116"/>
      <c r="FX143" s="116"/>
      <c r="FY143" s="116"/>
      <c r="FZ143" s="116"/>
      <c r="GA143" s="116"/>
      <c r="GB143" s="116"/>
      <c r="GC143" s="116"/>
      <c r="GD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7" ht="12.75" x14ac:dyDescent="0.2">
      <c r="A144" s="81">
        <v>60</v>
      </c>
      <c r="B144" s="59">
        <v>75</v>
      </c>
      <c r="C144" s="59" t="s">
        <v>38</v>
      </c>
      <c r="D144" s="82" t="s">
        <v>39</v>
      </c>
      <c r="E144" s="59" t="s">
        <v>1</v>
      </c>
      <c r="F144" s="83">
        <v>2</v>
      </c>
      <c r="G144" s="83"/>
      <c r="H144" s="60">
        <f t="shared" si="4"/>
        <v>0</v>
      </c>
      <c r="I144" s="93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</row>
    <row r="145" spans="1:256" ht="12.75" x14ac:dyDescent="0.2">
      <c r="A145" s="81">
        <v>60</v>
      </c>
      <c r="B145" s="59">
        <v>76</v>
      </c>
      <c r="C145" s="59" t="s">
        <v>41</v>
      </c>
      <c r="D145" s="82" t="s">
        <v>53</v>
      </c>
      <c r="E145" s="59" t="s">
        <v>1</v>
      </c>
      <c r="F145" s="83">
        <v>2</v>
      </c>
      <c r="G145" s="83"/>
      <c r="H145" s="60">
        <f t="shared" si="4"/>
        <v>0</v>
      </c>
      <c r="I145" s="93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</row>
    <row r="146" spans="1:256" ht="12.75" x14ac:dyDescent="0.2">
      <c r="A146" s="81">
        <v>60</v>
      </c>
      <c r="B146" s="59">
        <v>77</v>
      </c>
      <c r="C146" s="59" t="s">
        <v>41</v>
      </c>
      <c r="D146" s="82" t="s">
        <v>54</v>
      </c>
      <c r="E146" s="59" t="s">
        <v>1</v>
      </c>
      <c r="F146" s="83">
        <v>2</v>
      </c>
      <c r="G146" s="83"/>
      <c r="H146" s="60">
        <f t="shared" si="4"/>
        <v>0</v>
      </c>
      <c r="I146" s="93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</row>
    <row r="147" spans="1:256" ht="12.75" x14ac:dyDescent="0.2">
      <c r="A147" s="81">
        <v>60</v>
      </c>
      <c r="B147" s="59">
        <v>78</v>
      </c>
      <c r="C147" s="59" t="s">
        <v>38</v>
      </c>
      <c r="D147" s="82" t="s">
        <v>55</v>
      </c>
      <c r="E147" s="59" t="s">
        <v>1</v>
      </c>
      <c r="F147" s="83">
        <v>1</v>
      </c>
      <c r="G147" s="83"/>
      <c r="H147" s="60">
        <f t="shared" si="4"/>
        <v>0</v>
      </c>
      <c r="I147" s="93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</row>
    <row r="148" spans="1:256" ht="12.75" x14ac:dyDescent="0.2">
      <c r="A148" s="81">
        <v>60</v>
      </c>
      <c r="B148" s="59">
        <v>79</v>
      </c>
      <c r="C148" s="59" t="s">
        <v>38</v>
      </c>
      <c r="D148" s="82" t="s">
        <v>56</v>
      </c>
      <c r="E148" s="59" t="s">
        <v>1</v>
      </c>
      <c r="F148" s="83">
        <v>1</v>
      </c>
      <c r="G148" s="83"/>
      <c r="H148" s="60">
        <f t="shared" ref="H148:H191" si="5">G148*F148</f>
        <v>0</v>
      </c>
      <c r="I148" s="93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</row>
    <row r="149" spans="1:256" ht="12.75" x14ac:dyDescent="0.2">
      <c r="A149" s="81">
        <v>60</v>
      </c>
      <c r="B149" s="59">
        <v>80</v>
      </c>
      <c r="C149" s="59" t="s">
        <v>42</v>
      </c>
      <c r="D149" s="82" t="s">
        <v>57</v>
      </c>
      <c r="E149" s="59" t="s">
        <v>1</v>
      </c>
      <c r="F149" s="83">
        <v>1</v>
      </c>
      <c r="G149" s="83"/>
      <c r="H149" s="60">
        <f t="shared" ref="H149:H167" si="6">G149*F149</f>
        <v>0</v>
      </c>
      <c r="I149" s="93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</row>
    <row r="150" spans="1:256" ht="12.75" x14ac:dyDescent="0.2">
      <c r="A150" s="81">
        <v>60</v>
      </c>
      <c r="B150" s="59">
        <v>81</v>
      </c>
      <c r="C150" s="59" t="s">
        <v>41</v>
      </c>
      <c r="D150" s="82" t="s">
        <v>37</v>
      </c>
      <c r="E150" s="59" t="s">
        <v>1</v>
      </c>
      <c r="F150" s="83">
        <v>2</v>
      </c>
      <c r="G150" s="83"/>
      <c r="H150" s="60">
        <f t="shared" si="6"/>
        <v>0</v>
      </c>
      <c r="I150" s="93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</row>
    <row r="151" spans="1:256" ht="12.75" x14ac:dyDescent="0.2">
      <c r="A151" s="81">
        <v>60</v>
      </c>
      <c r="B151" s="59">
        <v>82</v>
      </c>
      <c r="C151" s="59" t="s">
        <v>41</v>
      </c>
      <c r="D151" s="82" t="s">
        <v>58</v>
      </c>
      <c r="E151" s="59" t="s">
        <v>1</v>
      </c>
      <c r="F151" s="83">
        <v>1</v>
      </c>
      <c r="G151" s="83"/>
      <c r="H151" s="60">
        <f t="shared" si="6"/>
        <v>0</v>
      </c>
      <c r="I151" s="93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</row>
    <row r="152" spans="1:256" ht="12.75" x14ac:dyDescent="0.2">
      <c r="A152" s="81">
        <v>60</v>
      </c>
      <c r="B152" s="59">
        <v>83</v>
      </c>
      <c r="C152" s="59" t="s">
        <v>38</v>
      </c>
      <c r="D152" s="82" t="s">
        <v>59</v>
      </c>
      <c r="E152" s="59" t="s">
        <v>1</v>
      </c>
      <c r="F152" s="83">
        <v>2</v>
      </c>
      <c r="G152" s="83"/>
      <c r="H152" s="60">
        <f t="shared" si="6"/>
        <v>0</v>
      </c>
      <c r="I152" s="93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</row>
    <row r="153" spans="1:256" ht="12.75" x14ac:dyDescent="0.2">
      <c r="A153" s="81">
        <v>50</v>
      </c>
      <c r="B153" s="59">
        <v>84</v>
      </c>
      <c r="C153" s="59" t="s">
        <v>91</v>
      </c>
      <c r="D153" s="82" t="s">
        <v>60</v>
      </c>
      <c r="E153" s="59" t="s">
        <v>1</v>
      </c>
      <c r="F153" s="83">
        <v>2</v>
      </c>
      <c r="G153" s="83"/>
      <c r="H153" s="60">
        <f t="shared" si="6"/>
        <v>0</v>
      </c>
      <c r="I153" s="93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</row>
    <row r="154" spans="1:256" ht="12.75" x14ac:dyDescent="0.2">
      <c r="A154" s="81">
        <v>60</v>
      </c>
      <c r="B154" s="59">
        <v>85</v>
      </c>
      <c r="C154" s="59" t="s">
        <v>41</v>
      </c>
      <c r="D154" s="82" t="s">
        <v>61</v>
      </c>
      <c r="E154" s="59" t="s">
        <v>1</v>
      </c>
      <c r="F154" s="83">
        <v>3</v>
      </c>
      <c r="G154" s="83"/>
      <c r="H154" s="60">
        <f t="shared" si="6"/>
        <v>0</v>
      </c>
      <c r="I154" s="93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</row>
    <row r="155" spans="1:256" ht="12.75" x14ac:dyDescent="0.2">
      <c r="A155" s="81">
        <v>60</v>
      </c>
      <c r="B155" s="59">
        <v>86</v>
      </c>
      <c r="C155" s="59" t="s">
        <v>38</v>
      </c>
      <c r="D155" s="82" t="s">
        <v>62</v>
      </c>
      <c r="E155" s="59" t="s">
        <v>1</v>
      </c>
      <c r="F155" s="83">
        <v>1</v>
      </c>
      <c r="G155" s="83"/>
      <c r="H155" s="60">
        <f t="shared" si="6"/>
        <v>0</v>
      </c>
      <c r="I155" s="93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</row>
    <row r="156" spans="1:256" ht="12.75" x14ac:dyDescent="0.2">
      <c r="A156" s="81">
        <v>60</v>
      </c>
      <c r="B156" s="59">
        <v>87</v>
      </c>
      <c r="C156" s="59" t="s">
        <v>41</v>
      </c>
      <c r="D156" s="82" t="s">
        <v>63</v>
      </c>
      <c r="E156" s="59" t="s">
        <v>1</v>
      </c>
      <c r="F156" s="83">
        <v>2</v>
      </c>
      <c r="G156" s="83"/>
      <c r="H156" s="60">
        <f t="shared" si="6"/>
        <v>0</v>
      </c>
      <c r="I156" s="93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1"/>
      <c r="GI156" s="61"/>
      <c r="GJ156" s="61"/>
      <c r="GK156" s="61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61"/>
      <c r="HZ156" s="61"/>
      <c r="IA156" s="61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</row>
    <row r="157" spans="1:256" ht="12.75" x14ac:dyDescent="0.2">
      <c r="A157" s="81">
        <v>50</v>
      </c>
      <c r="B157" s="59">
        <v>88</v>
      </c>
      <c r="C157" s="59" t="s">
        <v>91</v>
      </c>
      <c r="D157" s="82" t="s">
        <v>63</v>
      </c>
      <c r="E157" s="59" t="s">
        <v>1</v>
      </c>
      <c r="F157" s="83">
        <v>3</v>
      </c>
      <c r="G157" s="83"/>
      <c r="H157" s="60">
        <f t="shared" si="6"/>
        <v>0</v>
      </c>
      <c r="I157" s="93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1"/>
      <c r="ES157" s="61"/>
      <c r="ET157" s="61"/>
      <c r="EU157" s="61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1"/>
      <c r="GI157" s="61"/>
      <c r="GJ157" s="61"/>
      <c r="GK157" s="61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61"/>
      <c r="HZ157" s="61"/>
      <c r="IA157" s="61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</row>
    <row r="158" spans="1:256" ht="12.75" x14ac:dyDescent="0.2">
      <c r="A158" s="81">
        <v>50</v>
      </c>
      <c r="B158" s="59">
        <v>89</v>
      </c>
      <c r="C158" s="59" t="s">
        <v>91</v>
      </c>
      <c r="D158" s="82" t="s">
        <v>64</v>
      </c>
      <c r="E158" s="59" t="s">
        <v>1</v>
      </c>
      <c r="F158" s="83">
        <v>1</v>
      </c>
      <c r="G158" s="83"/>
      <c r="H158" s="60">
        <f t="shared" si="6"/>
        <v>0</v>
      </c>
      <c r="I158" s="93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</row>
    <row r="159" spans="1:256" ht="12.75" x14ac:dyDescent="0.2">
      <c r="A159" s="81">
        <v>60</v>
      </c>
      <c r="B159" s="59">
        <v>90</v>
      </c>
      <c r="C159" s="59" t="s">
        <v>41</v>
      </c>
      <c r="D159" s="82" t="s">
        <v>64</v>
      </c>
      <c r="E159" s="59" t="s">
        <v>1</v>
      </c>
      <c r="F159" s="83">
        <v>2</v>
      </c>
      <c r="G159" s="83"/>
      <c r="H159" s="60">
        <f t="shared" si="6"/>
        <v>0</v>
      </c>
      <c r="I159" s="93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1"/>
      <c r="GI159" s="61"/>
      <c r="GJ159" s="61"/>
      <c r="GK159" s="61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61"/>
      <c r="HZ159" s="61"/>
      <c r="IA159" s="61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</row>
    <row r="160" spans="1:256" ht="12.75" x14ac:dyDescent="0.2">
      <c r="A160" s="81">
        <v>60</v>
      </c>
      <c r="B160" s="59">
        <v>91</v>
      </c>
      <c r="C160" s="59" t="s">
        <v>41</v>
      </c>
      <c r="D160" s="82" t="s">
        <v>64</v>
      </c>
      <c r="E160" s="59" t="s">
        <v>1</v>
      </c>
      <c r="F160" s="83">
        <v>1</v>
      </c>
      <c r="G160" s="83"/>
      <c r="H160" s="60">
        <f t="shared" si="6"/>
        <v>0</v>
      </c>
      <c r="I160" s="93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</row>
    <row r="161" spans="1:257" ht="12.75" x14ac:dyDescent="0.2">
      <c r="A161" s="81">
        <v>60</v>
      </c>
      <c r="B161" s="59">
        <v>92</v>
      </c>
      <c r="C161" s="59" t="s">
        <v>41</v>
      </c>
      <c r="D161" s="82" t="s">
        <v>65</v>
      </c>
      <c r="E161" s="59" t="s">
        <v>1</v>
      </c>
      <c r="F161" s="83">
        <v>2</v>
      </c>
      <c r="G161" s="83"/>
      <c r="H161" s="60">
        <f t="shared" si="6"/>
        <v>0</v>
      </c>
      <c r="I161" s="93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</row>
    <row r="162" spans="1:257" ht="12.75" x14ac:dyDescent="0.2">
      <c r="A162" s="81">
        <v>60</v>
      </c>
      <c r="B162" s="59">
        <v>93</v>
      </c>
      <c r="C162" s="59" t="s">
        <v>41</v>
      </c>
      <c r="D162" s="82" t="s">
        <v>66</v>
      </c>
      <c r="E162" s="59" t="s">
        <v>1</v>
      </c>
      <c r="F162" s="83">
        <v>1</v>
      </c>
      <c r="G162" s="83"/>
      <c r="H162" s="60">
        <f t="shared" si="6"/>
        <v>0</v>
      </c>
      <c r="I162" s="93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</row>
    <row r="163" spans="1:257" ht="12.75" x14ac:dyDescent="0.2">
      <c r="A163" s="81">
        <v>60</v>
      </c>
      <c r="B163" s="59">
        <v>94</v>
      </c>
      <c r="C163" s="59" t="s">
        <v>41</v>
      </c>
      <c r="D163" s="82" t="s">
        <v>67</v>
      </c>
      <c r="E163" s="59" t="s">
        <v>1</v>
      </c>
      <c r="F163" s="83">
        <v>1</v>
      </c>
      <c r="G163" s="83"/>
      <c r="H163" s="60">
        <f t="shared" si="6"/>
        <v>0</v>
      </c>
      <c r="I163" s="93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1"/>
      <c r="GX163" s="61"/>
      <c r="GY163" s="61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1"/>
      <c r="HK163" s="61"/>
      <c r="HL163" s="61"/>
      <c r="HM163" s="61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1"/>
      <c r="HY163" s="61"/>
      <c r="HZ163" s="61"/>
      <c r="IA163" s="61"/>
      <c r="IB163" s="61"/>
      <c r="IC163" s="61"/>
      <c r="ID163" s="61"/>
      <c r="IE163" s="61"/>
      <c r="IF163" s="61"/>
      <c r="IG163" s="61"/>
      <c r="IH163" s="61"/>
      <c r="II163" s="61"/>
      <c r="IJ163" s="61"/>
      <c r="IK163" s="61"/>
      <c r="IL163" s="61"/>
      <c r="IM163" s="61"/>
      <c r="IN163" s="61"/>
      <c r="IO163" s="61"/>
      <c r="IP163" s="61"/>
      <c r="IQ163" s="61"/>
      <c r="IR163" s="61"/>
      <c r="IS163" s="61"/>
      <c r="IT163" s="61"/>
      <c r="IU163" s="61"/>
      <c r="IV163" s="61"/>
    </row>
    <row r="164" spans="1:257" ht="12.75" x14ac:dyDescent="0.2">
      <c r="A164" s="81">
        <v>60</v>
      </c>
      <c r="B164" s="59">
        <v>95</v>
      </c>
      <c r="C164" s="59" t="s">
        <v>38</v>
      </c>
      <c r="D164" s="82" t="s">
        <v>68</v>
      </c>
      <c r="E164" s="59" t="s">
        <v>1</v>
      </c>
      <c r="F164" s="83">
        <v>1</v>
      </c>
      <c r="G164" s="83"/>
      <c r="H164" s="60">
        <f t="shared" si="6"/>
        <v>0</v>
      </c>
      <c r="I164" s="93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/>
      <c r="IV164" s="61"/>
    </row>
    <row r="165" spans="1:257" ht="12.75" x14ac:dyDescent="0.2">
      <c r="A165" s="81">
        <v>60</v>
      </c>
      <c r="B165" s="59">
        <v>96</v>
      </c>
      <c r="C165" s="59" t="s">
        <v>41</v>
      </c>
      <c r="D165" s="82" t="s">
        <v>69</v>
      </c>
      <c r="E165" s="59" t="s">
        <v>1</v>
      </c>
      <c r="F165" s="83">
        <v>2</v>
      </c>
      <c r="G165" s="83"/>
      <c r="H165" s="60">
        <f t="shared" si="6"/>
        <v>0</v>
      </c>
      <c r="I165" s="93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</row>
    <row r="166" spans="1:257" ht="38.25" x14ac:dyDescent="0.2">
      <c r="A166" s="81">
        <v>50</v>
      </c>
      <c r="B166" s="59">
        <v>97</v>
      </c>
      <c r="C166" s="96" t="s">
        <v>92</v>
      </c>
      <c r="D166" s="82" t="s">
        <v>100</v>
      </c>
      <c r="E166" s="59" t="s">
        <v>1</v>
      </c>
      <c r="F166" s="83">
        <v>4</v>
      </c>
      <c r="G166" s="83"/>
      <c r="H166" s="60">
        <f t="shared" si="6"/>
        <v>0</v>
      </c>
      <c r="I166" s="93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61"/>
      <c r="GY166" s="61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1"/>
      <c r="HK166" s="61"/>
      <c r="HL166" s="61"/>
      <c r="HM166" s="61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1"/>
      <c r="HY166" s="61"/>
      <c r="HZ166" s="61"/>
      <c r="IA166" s="61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1"/>
      <c r="IM166" s="61"/>
      <c r="IN166" s="61"/>
      <c r="IO166" s="61"/>
      <c r="IP166" s="61"/>
      <c r="IQ166" s="61"/>
      <c r="IR166" s="61"/>
      <c r="IS166" s="61"/>
      <c r="IT166" s="61"/>
      <c r="IU166" s="61"/>
      <c r="IV166" s="61"/>
    </row>
    <row r="167" spans="1:257" ht="25.5" x14ac:dyDescent="0.2">
      <c r="A167" s="81">
        <v>50</v>
      </c>
      <c r="B167" s="59">
        <v>98</v>
      </c>
      <c r="C167" s="96" t="s">
        <v>92</v>
      </c>
      <c r="D167" s="82" t="s">
        <v>101</v>
      </c>
      <c r="E167" s="59" t="s">
        <v>1</v>
      </c>
      <c r="F167" s="83">
        <v>2</v>
      </c>
      <c r="G167" s="83"/>
      <c r="H167" s="60">
        <f t="shared" si="6"/>
        <v>0</v>
      </c>
      <c r="I167" s="93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1"/>
      <c r="ES167" s="61"/>
      <c r="ET167" s="61"/>
      <c r="EU167" s="61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1"/>
      <c r="GX167" s="61"/>
      <c r="GY167" s="61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1"/>
      <c r="HK167" s="61"/>
      <c r="HL167" s="61"/>
      <c r="HM167" s="61"/>
      <c r="HN167" s="61"/>
      <c r="HO167" s="61"/>
      <c r="HP167" s="61"/>
      <c r="HQ167" s="61"/>
      <c r="HR167" s="61"/>
      <c r="HS167" s="61"/>
      <c r="HT167" s="61"/>
      <c r="HU167" s="61"/>
      <c r="HV167" s="61"/>
      <c r="HW167" s="61"/>
      <c r="HX167" s="61"/>
      <c r="HY167" s="61"/>
      <c r="HZ167" s="61"/>
      <c r="IA167" s="61"/>
      <c r="IB167" s="61"/>
      <c r="IC167" s="61"/>
      <c r="ID167" s="61"/>
      <c r="IE167" s="61"/>
      <c r="IF167" s="61"/>
      <c r="IG167" s="61"/>
      <c r="IH167" s="61"/>
      <c r="II167" s="61"/>
      <c r="IJ167" s="61"/>
      <c r="IK167" s="61"/>
      <c r="IL167" s="61"/>
      <c r="IM167" s="61"/>
      <c r="IN167" s="61"/>
      <c r="IO167" s="61"/>
      <c r="IP167" s="61"/>
      <c r="IQ167" s="61"/>
      <c r="IR167" s="61"/>
      <c r="IS167" s="61"/>
      <c r="IT167" s="61"/>
      <c r="IU167" s="61"/>
      <c r="IV167" s="61"/>
    </row>
    <row r="168" spans="1:257" s="1" customFormat="1" ht="12.75" x14ac:dyDescent="0.2">
      <c r="A168" s="64"/>
      <c r="B168" s="63"/>
      <c r="C168" s="65"/>
      <c r="D168" s="62" t="s">
        <v>19</v>
      </c>
      <c r="E168" s="63"/>
      <c r="F168" s="66"/>
      <c r="G168" s="66"/>
      <c r="H168" s="60"/>
      <c r="I168" s="94"/>
      <c r="J168" s="67"/>
      <c r="K168" s="68"/>
      <c r="L168" s="69"/>
      <c r="M168" s="70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  <c r="IW168" s="74"/>
    </row>
    <row r="169" spans="1:257" ht="12.75" x14ac:dyDescent="0.2">
      <c r="A169" s="81" t="s">
        <v>115</v>
      </c>
      <c r="B169" s="59">
        <v>99</v>
      </c>
      <c r="C169" s="96" t="s">
        <v>93</v>
      </c>
      <c r="D169" s="82" t="s">
        <v>70</v>
      </c>
      <c r="E169" s="59" t="s">
        <v>1</v>
      </c>
      <c r="F169" s="83">
        <v>68</v>
      </c>
      <c r="G169" s="83"/>
      <c r="H169" s="60">
        <f t="shared" ref="H169:H175" si="7">G169*F169</f>
        <v>0</v>
      </c>
      <c r="I169" s="93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1"/>
      <c r="ES169" s="61"/>
      <c r="ET169" s="61"/>
      <c r="EU169" s="61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1"/>
      <c r="GX169" s="61"/>
      <c r="GY169" s="61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1"/>
      <c r="HK169" s="61"/>
      <c r="HL169" s="61"/>
      <c r="HM169" s="61"/>
      <c r="HN169" s="61"/>
      <c r="HO169" s="61"/>
      <c r="HP169" s="61"/>
      <c r="HQ169" s="61"/>
      <c r="HR169" s="61"/>
      <c r="HS169" s="61"/>
      <c r="HT169" s="61"/>
      <c r="HU169" s="61"/>
      <c r="HV169" s="61"/>
      <c r="HW169" s="61"/>
      <c r="HX169" s="61"/>
      <c r="HY169" s="61"/>
      <c r="HZ169" s="61"/>
      <c r="IA169" s="61"/>
      <c r="IB169" s="61"/>
      <c r="IC169" s="61"/>
      <c r="ID169" s="61"/>
      <c r="IE169" s="61"/>
      <c r="IF169" s="61"/>
      <c r="IG169" s="61"/>
      <c r="IH169" s="61"/>
      <c r="II169" s="61"/>
      <c r="IJ169" s="61"/>
      <c r="IK169" s="61"/>
      <c r="IL169" s="61"/>
      <c r="IM169" s="61"/>
      <c r="IN169" s="61"/>
      <c r="IO169" s="61"/>
      <c r="IP169" s="61"/>
      <c r="IQ169" s="61"/>
      <c r="IR169" s="61"/>
      <c r="IS169" s="61"/>
      <c r="IT169" s="61"/>
      <c r="IU169" s="61"/>
      <c r="IV169" s="61"/>
    </row>
    <row r="170" spans="1:257" s="118" customFormat="1" ht="12.75" x14ac:dyDescent="0.2">
      <c r="A170" s="110" t="s">
        <v>115</v>
      </c>
      <c r="B170" s="99">
        <v>100</v>
      </c>
      <c r="C170" s="119" t="s">
        <v>94</v>
      </c>
      <c r="D170" s="111" t="s">
        <v>40</v>
      </c>
      <c r="E170" s="99" t="s">
        <v>1</v>
      </c>
      <c r="F170" s="112">
        <f>34+40</f>
        <v>74</v>
      </c>
      <c r="G170" s="112"/>
      <c r="H170" s="113">
        <f t="shared" si="7"/>
        <v>0</v>
      </c>
      <c r="I170" s="117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  <c r="ES170" s="116"/>
      <c r="ET170" s="116"/>
      <c r="EU170" s="116"/>
      <c r="EV170" s="116"/>
      <c r="EW170" s="116"/>
      <c r="EX170" s="116"/>
      <c r="EY170" s="116"/>
      <c r="EZ170" s="116"/>
      <c r="FA170" s="116"/>
      <c r="FB170" s="116"/>
      <c r="FC170" s="116"/>
      <c r="FD170" s="116"/>
      <c r="FE170" s="116"/>
      <c r="FF170" s="116"/>
      <c r="FG170" s="116"/>
      <c r="FH170" s="116"/>
      <c r="FI170" s="116"/>
      <c r="FJ170" s="116"/>
      <c r="FK170" s="116"/>
      <c r="FL170" s="116"/>
      <c r="FM170" s="116"/>
      <c r="FN170" s="116"/>
      <c r="FO170" s="116"/>
      <c r="FP170" s="116"/>
      <c r="FQ170" s="116"/>
      <c r="FR170" s="116"/>
      <c r="FS170" s="116"/>
      <c r="FT170" s="116"/>
      <c r="FU170" s="116"/>
      <c r="FV170" s="116"/>
      <c r="FW170" s="116"/>
      <c r="FX170" s="116"/>
      <c r="FY170" s="116"/>
      <c r="FZ170" s="116"/>
      <c r="GA170" s="116"/>
      <c r="GB170" s="116"/>
      <c r="GC170" s="116"/>
      <c r="GD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7" ht="12.75" x14ac:dyDescent="0.2">
      <c r="A171" s="81" t="s">
        <v>115</v>
      </c>
      <c r="B171" s="59">
        <v>101</v>
      </c>
      <c r="C171" s="96" t="s">
        <v>94</v>
      </c>
      <c r="D171" s="82" t="s">
        <v>40</v>
      </c>
      <c r="E171" s="59" t="s">
        <v>1</v>
      </c>
      <c r="F171" s="83">
        <v>17</v>
      </c>
      <c r="G171" s="83"/>
      <c r="H171" s="60">
        <f t="shared" si="7"/>
        <v>0</v>
      </c>
      <c r="I171" s="93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1"/>
      <c r="HY171" s="61"/>
      <c r="HZ171" s="61"/>
      <c r="IA171" s="61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</row>
    <row r="172" spans="1:257" s="118" customFormat="1" ht="12.75" x14ac:dyDescent="0.2">
      <c r="A172" s="110" t="s">
        <v>115</v>
      </c>
      <c r="B172" s="99">
        <v>102</v>
      </c>
      <c r="C172" s="119" t="s">
        <v>95</v>
      </c>
      <c r="D172" s="111" t="s">
        <v>71</v>
      </c>
      <c r="E172" s="99" t="s">
        <v>1</v>
      </c>
      <c r="F172" s="112">
        <v>20</v>
      </c>
      <c r="G172" s="112"/>
      <c r="H172" s="113">
        <f t="shared" si="7"/>
        <v>0</v>
      </c>
      <c r="I172" s="117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  <c r="ES172" s="116"/>
      <c r="ET172" s="116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116"/>
      <c r="FE172" s="116"/>
      <c r="FF172" s="116"/>
      <c r="FG172" s="116"/>
      <c r="FH172" s="116"/>
      <c r="FI172" s="116"/>
      <c r="FJ172" s="116"/>
      <c r="FK172" s="116"/>
      <c r="FL172" s="116"/>
      <c r="FM172" s="116"/>
      <c r="FN172" s="116"/>
      <c r="FO172" s="116"/>
      <c r="FP172" s="116"/>
      <c r="FQ172" s="116"/>
      <c r="FR172" s="116"/>
      <c r="FS172" s="116"/>
      <c r="FT172" s="116"/>
      <c r="FU172" s="116"/>
      <c r="FV172" s="116"/>
      <c r="FW172" s="116"/>
      <c r="FX172" s="116"/>
      <c r="FY172" s="116"/>
      <c r="FZ172" s="116"/>
      <c r="GA172" s="116"/>
      <c r="GB172" s="116"/>
      <c r="GC172" s="116"/>
      <c r="GD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7" ht="12.75" x14ac:dyDescent="0.2">
      <c r="A173" s="81" t="s">
        <v>115</v>
      </c>
      <c r="B173" s="59">
        <v>103</v>
      </c>
      <c r="C173" s="96" t="s">
        <v>95</v>
      </c>
      <c r="D173" s="82" t="s">
        <v>71</v>
      </c>
      <c r="E173" s="59" t="s">
        <v>1</v>
      </c>
      <c r="F173" s="83">
        <v>8</v>
      </c>
      <c r="G173" s="83"/>
      <c r="H173" s="60">
        <f t="shared" si="7"/>
        <v>0</v>
      </c>
      <c r="I173" s="93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1"/>
      <c r="HK173" s="61"/>
      <c r="HL173" s="61"/>
      <c r="HM173" s="61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1"/>
      <c r="HY173" s="61"/>
      <c r="HZ173" s="61"/>
      <c r="IA173" s="61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1"/>
      <c r="IM173" s="61"/>
      <c r="IN173" s="61"/>
      <c r="IO173" s="61"/>
      <c r="IP173" s="61"/>
      <c r="IQ173" s="61"/>
      <c r="IR173" s="61"/>
      <c r="IS173" s="61"/>
      <c r="IT173" s="61"/>
      <c r="IU173" s="61"/>
      <c r="IV173" s="61"/>
    </row>
    <row r="174" spans="1:257" ht="12.75" x14ac:dyDescent="0.2">
      <c r="A174" s="81" t="s">
        <v>115</v>
      </c>
      <c r="B174" s="59">
        <v>104</v>
      </c>
      <c r="C174" s="96" t="s">
        <v>95</v>
      </c>
      <c r="D174" s="82" t="s">
        <v>72</v>
      </c>
      <c r="E174" s="59" t="s">
        <v>1</v>
      </c>
      <c r="F174" s="83">
        <v>80</v>
      </c>
      <c r="G174" s="83"/>
      <c r="H174" s="60">
        <f t="shared" si="7"/>
        <v>0</v>
      </c>
      <c r="I174" s="93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1"/>
      <c r="ES174" s="61"/>
      <c r="ET174" s="61"/>
      <c r="EU174" s="61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61"/>
      <c r="GY174" s="61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1"/>
      <c r="HK174" s="61"/>
      <c r="HL174" s="61"/>
      <c r="HM174" s="61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61"/>
      <c r="HY174" s="61"/>
      <c r="HZ174" s="61"/>
      <c r="IA174" s="61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61"/>
      <c r="IM174" s="61"/>
      <c r="IN174" s="61"/>
      <c r="IO174" s="61"/>
      <c r="IP174" s="61"/>
      <c r="IQ174" s="61"/>
      <c r="IR174" s="61"/>
      <c r="IS174" s="61"/>
      <c r="IT174" s="61"/>
      <c r="IU174" s="61"/>
      <c r="IV174" s="61"/>
    </row>
    <row r="175" spans="1:257" ht="12.75" x14ac:dyDescent="0.2">
      <c r="A175" s="81" t="s">
        <v>115</v>
      </c>
      <c r="B175" s="59">
        <v>105</v>
      </c>
      <c r="C175" s="96" t="s">
        <v>96</v>
      </c>
      <c r="D175" s="82" t="s">
        <v>73</v>
      </c>
      <c r="E175" s="59" t="s">
        <v>1</v>
      </c>
      <c r="F175" s="83">
        <v>50</v>
      </c>
      <c r="G175" s="83"/>
      <c r="H175" s="60">
        <f t="shared" si="7"/>
        <v>0</v>
      </c>
      <c r="I175" s="93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1"/>
      <c r="HK175" s="61"/>
      <c r="HL175" s="61"/>
      <c r="HM175" s="61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1"/>
      <c r="HY175" s="61"/>
      <c r="HZ175" s="61"/>
      <c r="IA175" s="61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1"/>
      <c r="IM175" s="61"/>
      <c r="IN175" s="61"/>
      <c r="IO175" s="61"/>
      <c r="IP175" s="61"/>
      <c r="IQ175" s="61"/>
      <c r="IR175" s="61"/>
      <c r="IS175" s="61"/>
      <c r="IT175" s="61"/>
      <c r="IU175" s="61"/>
      <c r="IV175" s="61"/>
    </row>
    <row r="176" spans="1:257" ht="12.75" x14ac:dyDescent="0.2">
      <c r="A176" s="81" t="s">
        <v>115</v>
      </c>
      <c r="B176" s="59">
        <v>106</v>
      </c>
      <c r="C176" s="96" t="s">
        <v>97</v>
      </c>
      <c r="D176" s="82" t="s">
        <v>74</v>
      </c>
      <c r="E176" s="59" t="s">
        <v>1</v>
      </c>
      <c r="F176" s="83">
        <v>50</v>
      </c>
      <c r="G176" s="83"/>
      <c r="H176" s="60">
        <f t="shared" si="5"/>
        <v>0</v>
      </c>
      <c r="I176" s="93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1"/>
      <c r="HY176" s="61"/>
      <c r="HZ176" s="61"/>
      <c r="IA176" s="61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</row>
    <row r="177" spans="1:257" ht="12.75" x14ac:dyDescent="0.2">
      <c r="A177" s="81" t="s">
        <v>115</v>
      </c>
      <c r="B177" s="59">
        <v>107</v>
      </c>
      <c r="C177" s="96" t="s">
        <v>97</v>
      </c>
      <c r="D177" s="82" t="s">
        <v>75</v>
      </c>
      <c r="E177" s="59" t="s">
        <v>1</v>
      </c>
      <c r="F177" s="83">
        <v>50</v>
      </c>
      <c r="G177" s="83"/>
      <c r="H177" s="60">
        <f>G177*F177</f>
        <v>0</v>
      </c>
      <c r="I177" s="93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1"/>
      <c r="ES177" s="61"/>
      <c r="ET177" s="61"/>
      <c r="EU177" s="61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1"/>
      <c r="GX177" s="61"/>
      <c r="GY177" s="61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1"/>
      <c r="HK177" s="61"/>
      <c r="HL177" s="61"/>
      <c r="HM177" s="61"/>
      <c r="HN177" s="61"/>
      <c r="HO177" s="61"/>
      <c r="HP177" s="61"/>
      <c r="HQ177" s="61"/>
      <c r="HR177" s="61"/>
      <c r="HS177" s="61"/>
      <c r="HT177" s="61"/>
      <c r="HU177" s="61"/>
      <c r="HV177" s="61"/>
      <c r="HW177" s="61"/>
      <c r="HX177" s="61"/>
      <c r="HY177" s="61"/>
      <c r="HZ177" s="61"/>
      <c r="IA177" s="61"/>
      <c r="IB177" s="61"/>
      <c r="IC177" s="61"/>
      <c r="ID177" s="61"/>
      <c r="IE177" s="61"/>
      <c r="IF177" s="61"/>
      <c r="IG177" s="61"/>
      <c r="IH177" s="61"/>
      <c r="II177" s="61"/>
      <c r="IJ177" s="61"/>
      <c r="IK177" s="61"/>
      <c r="IL177" s="61"/>
      <c r="IM177" s="61"/>
      <c r="IN177" s="61"/>
      <c r="IO177" s="61"/>
      <c r="IP177" s="61"/>
      <c r="IQ177" s="61"/>
      <c r="IR177" s="61"/>
      <c r="IS177" s="61"/>
      <c r="IT177" s="61"/>
      <c r="IU177" s="61"/>
      <c r="IV177" s="61"/>
    </row>
    <row r="178" spans="1:257" ht="12.75" x14ac:dyDescent="0.2">
      <c r="A178" s="81" t="s">
        <v>115</v>
      </c>
      <c r="B178" s="59">
        <v>108</v>
      </c>
      <c r="C178" s="96" t="s">
        <v>98</v>
      </c>
      <c r="D178" s="82" t="s">
        <v>76</v>
      </c>
      <c r="E178" s="59" t="s">
        <v>1</v>
      </c>
      <c r="F178" s="83">
        <v>37</v>
      </c>
      <c r="G178" s="83"/>
      <c r="H178" s="60">
        <f>G178*F178</f>
        <v>0</v>
      </c>
      <c r="I178" s="93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1"/>
      <c r="ES178" s="61"/>
      <c r="ET178" s="61"/>
      <c r="EU178" s="61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1"/>
      <c r="GX178" s="61"/>
      <c r="GY178" s="61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1"/>
      <c r="HK178" s="61"/>
      <c r="HL178" s="61"/>
      <c r="HM178" s="61"/>
      <c r="HN178" s="61"/>
      <c r="HO178" s="61"/>
      <c r="HP178" s="61"/>
      <c r="HQ178" s="61"/>
      <c r="HR178" s="61"/>
      <c r="HS178" s="61"/>
      <c r="HT178" s="61"/>
      <c r="HU178" s="61"/>
      <c r="HV178" s="61"/>
      <c r="HW178" s="61"/>
      <c r="HX178" s="61"/>
      <c r="HY178" s="61"/>
      <c r="HZ178" s="61"/>
      <c r="IA178" s="61"/>
      <c r="IB178" s="61"/>
      <c r="IC178" s="61"/>
      <c r="ID178" s="61"/>
      <c r="IE178" s="61"/>
      <c r="IF178" s="61"/>
      <c r="IG178" s="61"/>
      <c r="IH178" s="61"/>
      <c r="II178" s="61"/>
      <c r="IJ178" s="61"/>
      <c r="IK178" s="61"/>
      <c r="IL178" s="61"/>
      <c r="IM178" s="61"/>
      <c r="IN178" s="61"/>
      <c r="IO178" s="61"/>
      <c r="IP178" s="61"/>
      <c r="IQ178" s="61"/>
      <c r="IR178" s="61"/>
      <c r="IS178" s="61"/>
      <c r="IT178" s="61"/>
      <c r="IU178" s="61"/>
      <c r="IV178" s="61"/>
    </row>
    <row r="179" spans="1:257" s="118" customFormat="1" ht="12.75" x14ac:dyDescent="0.2">
      <c r="A179" s="110" t="s">
        <v>115</v>
      </c>
      <c r="B179" s="99">
        <v>109</v>
      </c>
      <c r="C179" s="119" t="s">
        <v>98</v>
      </c>
      <c r="D179" s="111" t="s">
        <v>77</v>
      </c>
      <c r="E179" s="99" t="s">
        <v>1</v>
      </c>
      <c r="F179" s="112">
        <v>6</v>
      </c>
      <c r="G179" s="112"/>
      <c r="H179" s="113">
        <f>G179*F179</f>
        <v>0</v>
      </c>
      <c r="I179" s="117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  <c r="EB179" s="116"/>
      <c r="EC179" s="116"/>
      <c r="ED179" s="116"/>
      <c r="EE179" s="116"/>
      <c r="EF179" s="116"/>
      <c r="EG179" s="116"/>
      <c r="EH179" s="116"/>
      <c r="EI179" s="116"/>
      <c r="EJ179" s="116"/>
      <c r="EK179" s="116"/>
      <c r="EL179" s="116"/>
      <c r="EM179" s="116"/>
      <c r="EN179" s="116"/>
      <c r="EO179" s="116"/>
      <c r="EP179" s="116"/>
      <c r="EQ179" s="116"/>
      <c r="ER179" s="116"/>
      <c r="ES179" s="116"/>
      <c r="ET179" s="116"/>
      <c r="EU179" s="116"/>
      <c r="EV179" s="116"/>
      <c r="EW179" s="116"/>
      <c r="EX179" s="116"/>
      <c r="EY179" s="116"/>
      <c r="EZ179" s="116"/>
      <c r="FA179" s="116"/>
      <c r="FB179" s="116"/>
      <c r="FC179" s="116"/>
      <c r="FD179" s="116"/>
      <c r="FE179" s="116"/>
      <c r="FF179" s="116"/>
      <c r="FG179" s="116"/>
      <c r="FH179" s="116"/>
      <c r="FI179" s="116"/>
      <c r="FJ179" s="116"/>
      <c r="FK179" s="116"/>
      <c r="FL179" s="116"/>
      <c r="FM179" s="116"/>
      <c r="FN179" s="116"/>
      <c r="FO179" s="116"/>
      <c r="FP179" s="116"/>
      <c r="FQ179" s="116"/>
      <c r="FR179" s="116"/>
      <c r="FS179" s="116"/>
      <c r="FT179" s="116"/>
      <c r="FU179" s="116"/>
      <c r="FV179" s="116"/>
      <c r="FW179" s="116"/>
      <c r="FX179" s="116"/>
      <c r="FY179" s="116"/>
      <c r="FZ179" s="116"/>
      <c r="GA179" s="116"/>
      <c r="GB179" s="116"/>
      <c r="GC179" s="116"/>
      <c r="GD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7" ht="12.75" x14ac:dyDescent="0.2">
      <c r="A180" s="81">
        <v>40</v>
      </c>
      <c r="B180" s="59">
        <v>110</v>
      </c>
      <c r="C180" s="96" t="s">
        <v>99</v>
      </c>
      <c r="D180" s="82" t="s">
        <v>78</v>
      </c>
      <c r="E180" s="59" t="s">
        <v>1</v>
      </c>
      <c r="F180" s="83">
        <v>8</v>
      </c>
      <c r="G180" s="83"/>
      <c r="H180" s="60">
        <f>G180*F180</f>
        <v>0</v>
      </c>
      <c r="I180" s="93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1"/>
      <c r="ES180" s="61"/>
      <c r="ET180" s="61"/>
      <c r="EU180" s="61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1"/>
      <c r="GX180" s="61"/>
      <c r="GY180" s="61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1"/>
      <c r="HK180" s="61"/>
      <c r="HL180" s="61"/>
      <c r="HM180" s="61"/>
      <c r="HN180" s="61"/>
      <c r="HO180" s="61"/>
      <c r="HP180" s="61"/>
      <c r="HQ180" s="61"/>
      <c r="HR180" s="61"/>
      <c r="HS180" s="61"/>
      <c r="HT180" s="61"/>
      <c r="HU180" s="61"/>
      <c r="HV180" s="61"/>
      <c r="HW180" s="61"/>
      <c r="HX180" s="61"/>
      <c r="HY180" s="61"/>
      <c r="HZ180" s="61"/>
      <c r="IA180" s="61"/>
      <c r="IB180" s="61"/>
      <c r="IC180" s="61"/>
      <c r="ID180" s="61"/>
      <c r="IE180" s="61"/>
      <c r="IF180" s="61"/>
      <c r="IG180" s="61"/>
      <c r="IH180" s="61"/>
      <c r="II180" s="61"/>
      <c r="IJ180" s="61"/>
      <c r="IK180" s="61"/>
      <c r="IL180" s="61"/>
      <c r="IM180" s="61"/>
      <c r="IN180" s="61"/>
      <c r="IO180" s="61"/>
      <c r="IP180" s="61"/>
      <c r="IQ180" s="61"/>
      <c r="IR180" s="61"/>
      <c r="IS180" s="61"/>
      <c r="IT180" s="61"/>
      <c r="IU180" s="61"/>
      <c r="IV180" s="61"/>
    </row>
    <row r="181" spans="1:257" ht="12.75" x14ac:dyDescent="0.2">
      <c r="A181" s="81">
        <v>40</v>
      </c>
      <c r="B181" s="59">
        <v>111</v>
      </c>
      <c r="C181" s="96" t="s">
        <v>99</v>
      </c>
      <c r="D181" s="82" t="s">
        <v>79</v>
      </c>
      <c r="E181" s="59" t="s">
        <v>1</v>
      </c>
      <c r="F181" s="83">
        <v>4</v>
      </c>
      <c r="G181" s="83"/>
      <c r="H181" s="60">
        <f>G181*F181</f>
        <v>0</v>
      </c>
      <c r="I181" s="93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1"/>
      <c r="ES181" s="61"/>
      <c r="ET181" s="61"/>
      <c r="EU181" s="61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1"/>
      <c r="GX181" s="61"/>
      <c r="GY181" s="61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1"/>
      <c r="HK181" s="61"/>
      <c r="HL181" s="61"/>
      <c r="HM181" s="61"/>
      <c r="HN181" s="61"/>
      <c r="HO181" s="61"/>
      <c r="HP181" s="61"/>
      <c r="HQ181" s="61"/>
      <c r="HR181" s="61"/>
      <c r="HS181" s="61"/>
      <c r="HT181" s="61"/>
      <c r="HU181" s="61"/>
      <c r="HV181" s="61"/>
      <c r="HW181" s="61"/>
      <c r="HX181" s="61"/>
      <c r="HY181" s="61"/>
      <c r="HZ181" s="61"/>
      <c r="IA181" s="61"/>
      <c r="IB181" s="61"/>
      <c r="IC181" s="61"/>
      <c r="ID181" s="61"/>
      <c r="IE181" s="61"/>
      <c r="IF181" s="61"/>
      <c r="IG181" s="61"/>
      <c r="IH181" s="61"/>
      <c r="II181" s="61"/>
      <c r="IJ181" s="61"/>
      <c r="IK181" s="61"/>
      <c r="IL181" s="61"/>
      <c r="IM181" s="61"/>
      <c r="IN181" s="61"/>
      <c r="IO181" s="61"/>
      <c r="IP181" s="61"/>
      <c r="IQ181" s="61"/>
      <c r="IR181" s="61"/>
      <c r="IS181" s="61"/>
      <c r="IT181" s="61"/>
      <c r="IU181" s="61"/>
      <c r="IV181" s="61"/>
    </row>
    <row r="182" spans="1:257" s="1" customFormat="1" ht="12.75" x14ac:dyDescent="0.2">
      <c r="A182" s="73"/>
      <c r="B182" s="63"/>
      <c r="C182" s="65"/>
      <c r="D182" s="62" t="s">
        <v>80</v>
      </c>
      <c r="E182" s="63"/>
      <c r="F182" s="66"/>
      <c r="G182" s="66"/>
      <c r="H182" s="60"/>
      <c r="I182" s="94"/>
      <c r="J182" s="67"/>
      <c r="K182" s="68"/>
      <c r="L182" s="69"/>
      <c r="M182" s="70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  <c r="IW182" s="74"/>
    </row>
    <row r="183" spans="1:257" ht="12.75" x14ac:dyDescent="0.2">
      <c r="A183" s="81"/>
      <c r="B183" s="59">
        <v>112</v>
      </c>
      <c r="C183" s="96" t="s">
        <v>23</v>
      </c>
      <c r="D183" s="82" t="s">
        <v>81</v>
      </c>
      <c r="E183" s="59" t="s">
        <v>1</v>
      </c>
      <c r="F183" s="83">
        <v>2</v>
      </c>
      <c r="G183" s="83"/>
      <c r="H183" s="60">
        <f>G183*F183</f>
        <v>0</v>
      </c>
      <c r="I183" s="93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1"/>
      <c r="ES183" s="61"/>
      <c r="ET183" s="61"/>
      <c r="EU183" s="61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1"/>
      <c r="GI183" s="61"/>
      <c r="GJ183" s="61"/>
      <c r="GK183" s="61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1"/>
      <c r="GW183" s="61"/>
      <c r="GX183" s="61"/>
      <c r="GY183" s="61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61"/>
      <c r="HK183" s="61"/>
      <c r="HL183" s="61"/>
      <c r="HM183" s="61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61"/>
      <c r="HY183" s="61"/>
      <c r="HZ183" s="61"/>
      <c r="IA183" s="61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61"/>
      <c r="IM183" s="61"/>
      <c r="IN183" s="61"/>
      <c r="IO183" s="61"/>
      <c r="IP183" s="61"/>
      <c r="IQ183" s="61"/>
      <c r="IR183" s="61"/>
      <c r="IS183" s="61"/>
      <c r="IT183" s="61"/>
      <c r="IU183" s="61"/>
      <c r="IV183" s="61"/>
    </row>
    <row r="184" spans="1:257" ht="12.75" x14ac:dyDescent="0.2">
      <c r="A184" s="81"/>
      <c r="B184" s="59">
        <v>113</v>
      </c>
      <c r="C184" s="96" t="s">
        <v>23</v>
      </c>
      <c r="D184" s="82" t="s">
        <v>82</v>
      </c>
      <c r="E184" s="59" t="s">
        <v>1</v>
      </c>
      <c r="F184" s="83">
        <v>2</v>
      </c>
      <c r="G184" s="83"/>
      <c r="H184" s="60">
        <f>G184*F184</f>
        <v>0</v>
      </c>
      <c r="I184" s="93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1"/>
      <c r="ES184" s="61"/>
      <c r="ET184" s="61"/>
      <c r="EU184" s="61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1"/>
      <c r="GI184" s="61"/>
      <c r="GJ184" s="61"/>
      <c r="GK184" s="61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1"/>
      <c r="GW184" s="61"/>
      <c r="GX184" s="61"/>
      <c r="GY184" s="61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61"/>
      <c r="HK184" s="61"/>
      <c r="HL184" s="61"/>
      <c r="HM184" s="61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61"/>
      <c r="HY184" s="61"/>
      <c r="HZ184" s="61"/>
      <c r="IA184" s="61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61"/>
      <c r="IM184" s="61"/>
      <c r="IN184" s="61"/>
      <c r="IO184" s="61"/>
      <c r="IP184" s="61"/>
      <c r="IQ184" s="61"/>
      <c r="IR184" s="61"/>
      <c r="IS184" s="61"/>
      <c r="IT184" s="61"/>
      <c r="IU184" s="61"/>
      <c r="IV184" s="61"/>
    </row>
    <row r="185" spans="1:257" ht="12.75" x14ac:dyDescent="0.2">
      <c r="A185" s="81"/>
      <c r="B185" s="59">
        <v>114</v>
      </c>
      <c r="C185" s="96" t="s">
        <v>23</v>
      </c>
      <c r="D185" s="82" t="s">
        <v>83</v>
      </c>
      <c r="E185" s="59" t="s">
        <v>1</v>
      </c>
      <c r="F185" s="83">
        <v>2</v>
      </c>
      <c r="G185" s="83"/>
      <c r="H185" s="60">
        <f t="shared" si="5"/>
        <v>0</v>
      </c>
      <c r="I185" s="93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61"/>
      <c r="ET185" s="61"/>
      <c r="EU185" s="61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1"/>
      <c r="GX185" s="61"/>
      <c r="GY185" s="61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1"/>
      <c r="HK185" s="61"/>
      <c r="HL185" s="61"/>
      <c r="HM185" s="61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61"/>
      <c r="HY185" s="61"/>
      <c r="HZ185" s="61"/>
      <c r="IA185" s="61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61"/>
      <c r="IM185" s="61"/>
      <c r="IN185" s="61"/>
      <c r="IO185" s="61"/>
      <c r="IP185" s="61"/>
      <c r="IQ185" s="61"/>
      <c r="IR185" s="61"/>
      <c r="IS185" s="61"/>
      <c r="IT185" s="61"/>
      <c r="IU185" s="61"/>
      <c r="IV185" s="61"/>
    </row>
    <row r="186" spans="1:257" ht="12.75" x14ac:dyDescent="0.2">
      <c r="A186" s="81"/>
      <c r="B186" s="59">
        <v>115</v>
      </c>
      <c r="C186" s="96" t="s">
        <v>23</v>
      </c>
      <c r="D186" s="82" t="s">
        <v>84</v>
      </c>
      <c r="E186" s="59" t="s">
        <v>1</v>
      </c>
      <c r="F186" s="83">
        <v>2</v>
      </c>
      <c r="G186" s="83"/>
      <c r="H186" s="60">
        <f t="shared" si="5"/>
        <v>0</v>
      </c>
      <c r="I186" s="93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1"/>
      <c r="HK186" s="61"/>
      <c r="HL186" s="61"/>
      <c r="HM186" s="61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1"/>
      <c r="HY186" s="61"/>
      <c r="HZ186" s="61"/>
      <c r="IA186" s="61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1"/>
      <c r="IM186" s="61"/>
      <c r="IN186" s="61"/>
      <c r="IO186" s="61"/>
      <c r="IP186" s="61"/>
      <c r="IQ186" s="61"/>
      <c r="IR186" s="61"/>
      <c r="IS186" s="61"/>
      <c r="IT186" s="61"/>
      <c r="IU186" s="61"/>
      <c r="IV186" s="61"/>
    </row>
    <row r="187" spans="1:257" ht="12.75" x14ac:dyDescent="0.2">
      <c r="A187" s="81"/>
      <c r="B187" s="59">
        <v>116</v>
      </c>
      <c r="C187" s="96" t="s">
        <v>23</v>
      </c>
      <c r="D187" s="82" t="s">
        <v>85</v>
      </c>
      <c r="E187" s="59" t="s">
        <v>1</v>
      </c>
      <c r="F187" s="83">
        <v>2</v>
      </c>
      <c r="G187" s="83"/>
      <c r="H187" s="60">
        <f t="shared" si="5"/>
        <v>0</v>
      </c>
      <c r="I187" s="93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1"/>
      <c r="HK187" s="61"/>
      <c r="HL187" s="61"/>
      <c r="HM187" s="61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1"/>
      <c r="HY187" s="61"/>
      <c r="HZ187" s="61"/>
      <c r="IA187" s="61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1"/>
      <c r="IM187" s="61"/>
      <c r="IN187" s="61"/>
      <c r="IO187" s="61"/>
      <c r="IP187" s="61"/>
      <c r="IQ187" s="61"/>
      <c r="IR187" s="61"/>
      <c r="IS187" s="61"/>
      <c r="IT187" s="61"/>
      <c r="IU187" s="61"/>
      <c r="IV187" s="61"/>
    </row>
    <row r="188" spans="1:257" ht="12.75" x14ac:dyDescent="0.2">
      <c r="A188" s="81"/>
      <c r="B188" s="59">
        <v>117</v>
      </c>
      <c r="C188" s="96" t="s">
        <v>23</v>
      </c>
      <c r="D188" s="82" t="s">
        <v>86</v>
      </c>
      <c r="E188" s="59" t="s">
        <v>1</v>
      </c>
      <c r="F188" s="83">
        <v>2</v>
      </c>
      <c r="G188" s="83"/>
      <c r="H188" s="60">
        <f t="shared" si="5"/>
        <v>0</v>
      </c>
      <c r="I188" s="93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61"/>
      <c r="HK188" s="61"/>
      <c r="HL188" s="61"/>
      <c r="HM188" s="61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61"/>
      <c r="HY188" s="61"/>
      <c r="HZ188" s="61"/>
      <c r="IA188" s="61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61"/>
      <c r="IM188" s="61"/>
      <c r="IN188" s="61"/>
      <c r="IO188" s="61"/>
      <c r="IP188" s="61"/>
      <c r="IQ188" s="61"/>
      <c r="IR188" s="61"/>
      <c r="IS188" s="61"/>
      <c r="IT188" s="61"/>
      <c r="IU188" s="61"/>
      <c r="IV188" s="61"/>
    </row>
    <row r="189" spans="1:257" ht="12.75" x14ac:dyDescent="0.2">
      <c r="A189" s="81"/>
      <c r="B189" s="59">
        <v>118</v>
      </c>
      <c r="C189" s="96" t="s">
        <v>23</v>
      </c>
      <c r="D189" s="82" t="s">
        <v>87</v>
      </c>
      <c r="E189" s="59" t="s">
        <v>1</v>
      </c>
      <c r="F189" s="83">
        <v>2</v>
      </c>
      <c r="G189" s="83"/>
      <c r="H189" s="60">
        <f t="shared" si="5"/>
        <v>0</v>
      </c>
      <c r="I189" s="93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1"/>
      <c r="GX189" s="61"/>
      <c r="GY189" s="61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61"/>
      <c r="HK189" s="61"/>
      <c r="HL189" s="61"/>
      <c r="HM189" s="61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61"/>
      <c r="HY189" s="61"/>
      <c r="HZ189" s="61"/>
      <c r="IA189" s="61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61"/>
      <c r="IM189" s="61"/>
      <c r="IN189" s="61"/>
      <c r="IO189" s="61"/>
      <c r="IP189" s="61"/>
      <c r="IQ189" s="61"/>
      <c r="IR189" s="61"/>
      <c r="IS189" s="61"/>
      <c r="IT189" s="61"/>
      <c r="IU189" s="61"/>
      <c r="IV189" s="61"/>
    </row>
    <row r="190" spans="1:257" ht="12.75" x14ac:dyDescent="0.2">
      <c r="A190" s="81"/>
      <c r="B190" s="59">
        <v>119</v>
      </c>
      <c r="C190" s="96" t="s">
        <v>23</v>
      </c>
      <c r="D190" s="82" t="s">
        <v>88</v>
      </c>
      <c r="E190" s="59" t="s">
        <v>1</v>
      </c>
      <c r="F190" s="83">
        <v>2</v>
      </c>
      <c r="G190" s="83"/>
      <c r="H190" s="60">
        <f t="shared" si="5"/>
        <v>0</v>
      </c>
      <c r="I190" s="93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</row>
    <row r="191" spans="1:257" ht="12.75" x14ac:dyDescent="0.2">
      <c r="A191" s="81"/>
      <c r="B191" s="59">
        <v>120</v>
      </c>
      <c r="C191" s="96" t="s">
        <v>23</v>
      </c>
      <c r="D191" s="82" t="s">
        <v>89</v>
      </c>
      <c r="E191" s="59" t="s">
        <v>1</v>
      </c>
      <c r="F191" s="83">
        <v>2</v>
      </c>
      <c r="G191" s="83"/>
      <c r="H191" s="60">
        <f t="shared" si="5"/>
        <v>0</v>
      </c>
      <c r="I191" s="93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  <c r="HP191" s="61"/>
      <c r="HQ191" s="61"/>
      <c r="HR191" s="61"/>
      <c r="HS191" s="61"/>
      <c r="HT191" s="61"/>
      <c r="HU191" s="61"/>
      <c r="HV191" s="61"/>
      <c r="HW191" s="61"/>
      <c r="HX191" s="61"/>
      <c r="HY191" s="61"/>
      <c r="HZ191" s="61"/>
      <c r="IA191" s="61"/>
      <c r="IB191" s="61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</row>
    <row r="192" spans="1:257" s="1" customFormat="1" ht="12.75" x14ac:dyDescent="0.2">
      <c r="A192" s="64"/>
      <c r="B192" s="59"/>
      <c r="C192" s="65"/>
      <c r="D192" s="62" t="s">
        <v>18</v>
      </c>
      <c r="E192" s="63"/>
      <c r="F192" s="66"/>
      <c r="G192" s="66"/>
      <c r="H192" s="60"/>
      <c r="I192" s="94"/>
      <c r="J192" s="67"/>
      <c r="K192" s="68"/>
      <c r="L192" s="69"/>
      <c r="M192" s="70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  <c r="IW192" s="74"/>
    </row>
    <row r="193" spans="1:256" ht="12.75" x14ac:dyDescent="0.2">
      <c r="A193" s="81"/>
      <c r="B193" s="59">
        <v>121</v>
      </c>
      <c r="C193" s="96"/>
      <c r="D193" s="82" t="s">
        <v>90</v>
      </c>
      <c r="E193" s="59" t="s">
        <v>1</v>
      </c>
      <c r="F193" s="83">
        <v>200</v>
      </c>
      <c r="G193" s="83"/>
      <c r="H193" s="60">
        <f>G193*F193</f>
        <v>0</v>
      </c>
      <c r="I193" s="93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</row>
    <row r="194" spans="1:256" ht="12.75" x14ac:dyDescent="0.2">
      <c r="A194" s="52"/>
      <c r="B194" s="52"/>
      <c r="C194" s="54"/>
      <c r="D194" s="54" t="s">
        <v>131</v>
      </c>
      <c r="E194" s="52"/>
      <c r="F194" s="55"/>
      <c r="G194" s="55"/>
      <c r="H194" s="56">
        <f>SUM(H82:H193)</f>
        <v>0</v>
      </c>
      <c r="I194" s="57"/>
      <c r="J194" s="52"/>
      <c r="K194" s="58"/>
      <c r="L194" s="52"/>
      <c r="M194" s="53"/>
      <c r="N194" s="52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  <c r="IK194" s="53"/>
      <c r="IL194" s="53"/>
      <c r="IM194" s="53"/>
      <c r="IN194" s="53"/>
      <c r="IO194" s="53"/>
      <c r="IP194" s="53"/>
      <c r="IQ194" s="53"/>
      <c r="IR194" s="53"/>
      <c r="IS194" s="53"/>
      <c r="IT194" s="53"/>
      <c r="IU194" s="53"/>
      <c r="IV194" s="53"/>
    </row>
    <row r="195" spans="1:256" s="1" customFormat="1" ht="12.75" x14ac:dyDescent="0.2">
      <c r="A195" s="73"/>
      <c r="B195" s="12"/>
      <c r="C195" s="4"/>
      <c r="D195" s="15"/>
      <c r="E195" s="12"/>
      <c r="F195" s="12"/>
      <c r="G195" s="25"/>
      <c r="H195" s="22"/>
      <c r="I195" s="7"/>
      <c r="J195" s="39"/>
      <c r="K195" s="40"/>
      <c r="L195" s="38"/>
      <c r="M195" s="38"/>
      <c r="N195" s="37"/>
      <c r="O195" s="26"/>
      <c r="Q195" s="26"/>
    </row>
    <row r="196" spans="1:256" s="1" customFormat="1" ht="12.75" x14ac:dyDescent="0.2">
      <c r="A196" s="73"/>
      <c r="B196" s="12"/>
      <c r="C196" s="4"/>
      <c r="D196" s="15"/>
      <c r="E196" s="12"/>
      <c r="F196" s="12"/>
      <c r="G196" s="25"/>
      <c r="H196" s="22"/>
      <c r="I196" s="7"/>
      <c r="J196" s="39"/>
      <c r="K196" s="40"/>
      <c r="L196" s="38"/>
      <c r="M196" s="38"/>
      <c r="N196" s="37"/>
      <c r="O196" s="26"/>
      <c r="Q196" s="26"/>
    </row>
    <row r="197" spans="1:256" s="1" customFormat="1" ht="12.75" x14ac:dyDescent="0.2">
      <c r="A197" s="73"/>
      <c r="B197" s="12">
        <v>5</v>
      </c>
      <c r="C197" s="4"/>
      <c r="D197" s="15"/>
      <c r="E197" s="12"/>
      <c r="F197" s="12"/>
      <c r="G197" s="25"/>
      <c r="H197" s="22"/>
      <c r="I197" s="7"/>
      <c r="J197" s="39"/>
      <c r="K197" s="40"/>
      <c r="L197" s="38"/>
      <c r="M197" s="38"/>
      <c r="N197" s="37"/>
      <c r="O197" s="26"/>
      <c r="Q197" s="26"/>
    </row>
    <row r="198" spans="1:256" ht="12.75" x14ac:dyDescent="0.2">
      <c r="A198" s="52"/>
      <c r="B198" s="52" t="s">
        <v>10</v>
      </c>
      <c r="C198" s="54" t="s">
        <v>180</v>
      </c>
      <c r="D198" s="54"/>
      <c r="E198" s="52" t="s">
        <v>4</v>
      </c>
      <c r="F198" s="55" t="s">
        <v>5</v>
      </c>
      <c r="G198" s="55" t="s">
        <v>11</v>
      </c>
      <c r="H198" s="56" t="s">
        <v>8</v>
      </c>
      <c r="I198" s="57"/>
      <c r="J198" s="52"/>
      <c r="K198" s="58"/>
      <c r="L198" s="52"/>
      <c r="M198" s="53"/>
      <c r="N198" s="52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</row>
    <row r="199" spans="1:256" ht="12.75" x14ac:dyDescent="0.2">
      <c r="A199" s="81"/>
      <c r="B199" s="59">
        <v>122</v>
      </c>
      <c r="C199" s="59">
        <v>184802111</v>
      </c>
      <c r="D199" s="82" t="s">
        <v>178</v>
      </c>
      <c r="E199" s="59" t="s">
        <v>0</v>
      </c>
      <c r="F199" s="83">
        <v>383</v>
      </c>
      <c r="G199" s="83"/>
      <c r="H199" s="60">
        <f>+F199*G199</f>
        <v>0</v>
      </c>
      <c r="I199" s="93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  <c r="HP199" s="61"/>
      <c r="HQ199" s="61"/>
      <c r="HR199" s="61"/>
      <c r="HS199" s="61"/>
      <c r="HT199" s="61"/>
      <c r="HU199" s="61"/>
      <c r="HV199" s="61"/>
      <c r="HW199" s="61"/>
      <c r="HX199" s="61"/>
      <c r="HY199" s="61"/>
      <c r="HZ199" s="61"/>
      <c r="IA199" s="61"/>
      <c r="IB199" s="61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</row>
    <row r="200" spans="1:256" ht="12.75" x14ac:dyDescent="0.2">
      <c r="A200" s="81"/>
      <c r="B200" s="59">
        <v>123</v>
      </c>
      <c r="C200" s="59">
        <v>183403114</v>
      </c>
      <c r="D200" s="82" t="s">
        <v>176</v>
      </c>
      <c r="E200" s="59" t="s">
        <v>0</v>
      </c>
      <c r="F200" s="83">
        <f>+F199*2</f>
        <v>766</v>
      </c>
      <c r="G200" s="83"/>
      <c r="H200" s="60">
        <f t="shared" ref="H200:H208" si="8">G200*F200</f>
        <v>0</v>
      </c>
      <c r="I200" s="93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</row>
    <row r="201" spans="1:256" ht="25.5" x14ac:dyDescent="0.2">
      <c r="A201" s="81"/>
      <c r="B201" s="59">
        <v>124</v>
      </c>
      <c r="C201" s="59">
        <v>181351103</v>
      </c>
      <c r="D201" s="82" t="s">
        <v>171</v>
      </c>
      <c r="E201" s="59" t="s">
        <v>0</v>
      </c>
      <c r="F201" s="83">
        <f>+F199</f>
        <v>383</v>
      </c>
      <c r="G201" s="83"/>
      <c r="H201" s="60">
        <f t="shared" si="8"/>
        <v>0</v>
      </c>
      <c r="I201" s="72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61"/>
      <c r="HK201" s="61"/>
      <c r="HL201" s="61"/>
      <c r="HM201" s="61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61"/>
      <c r="HY201" s="61"/>
      <c r="HZ201" s="61"/>
      <c r="IA201" s="61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61"/>
      <c r="IM201" s="61"/>
      <c r="IN201" s="61"/>
      <c r="IO201" s="61"/>
      <c r="IP201" s="61"/>
      <c r="IQ201" s="61"/>
      <c r="IR201" s="61"/>
      <c r="IS201" s="61"/>
      <c r="IT201" s="61"/>
      <c r="IU201" s="61"/>
      <c r="IV201" s="61"/>
    </row>
    <row r="202" spans="1:256" ht="12.75" x14ac:dyDescent="0.2">
      <c r="A202" s="81"/>
      <c r="B202" s="59">
        <v>125</v>
      </c>
      <c r="C202" s="59">
        <v>183403153</v>
      </c>
      <c r="D202" s="82" t="s">
        <v>172</v>
      </c>
      <c r="E202" s="59" t="s">
        <v>0</v>
      </c>
      <c r="F202" s="83">
        <f>+F200</f>
        <v>766</v>
      </c>
      <c r="G202" s="83"/>
      <c r="H202" s="60">
        <f t="shared" si="8"/>
        <v>0</v>
      </c>
      <c r="I202" s="93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1"/>
      <c r="IN202" s="61"/>
      <c r="IO202" s="61"/>
      <c r="IP202" s="61"/>
      <c r="IQ202" s="61"/>
      <c r="IR202" s="61"/>
      <c r="IS202" s="61"/>
      <c r="IT202" s="61"/>
      <c r="IU202" s="61"/>
      <c r="IV202" s="61"/>
    </row>
    <row r="203" spans="1:256" ht="12.75" x14ac:dyDescent="0.2">
      <c r="A203" s="81"/>
      <c r="B203" s="59">
        <v>126</v>
      </c>
      <c r="C203" s="59">
        <v>183403161</v>
      </c>
      <c r="D203" s="82" t="s">
        <v>173</v>
      </c>
      <c r="E203" s="59" t="s">
        <v>0</v>
      </c>
      <c r="F203" s="83">
        <f>+F202</f>
        <v>766</v>
      </c>
      <c r="G203" s="83"/>
      <c r="H203" s="60">
        <f t="shared" si="8"/>
        <v>0</v>
      </c>
      <c r="I203" s="93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61"/>
      <c r="HY203" s="61"/>
      <c r="HZ203" s="61"/>
      <c r="IA203" s="61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1"/>
      <c r="IN203" s="61"/>
      <c r="IO203" s="61"/>
      <c r="IP203" s="61"/>
      <c r="IQ203" s="61"/>
      <c r="IR203" s="61"/>
      <c r="IS203" s="61"/>
      <c r="IT203" s="61"/>
      <c r="IU203" s="61"/>
      <c r="IV203" s="61"/>
    </row>
    <row r="204" spans="1:256" ht="25.5" x14ac:dyDescent="0.2">
      <c r="A204" s="81"/>
      <c r="B204" s="59">
        <v>127</v>
      </c>
      <c r="C204" s="59">
        <v>181411121</v>
      </c>
      <c r="D204" s="82" t="s">
        <v>174</v>
      </c>
      <c r="E204" s="59" t="s">
        <v>0</v>
      </c>
      <c r="F204" s="83">
        <f>+F199</f>
        <v>383</v>
      </c>
      <c r="G204" s="83"/>
      <c r="H204" s="60">
        <f t="shared" si="8"/>
        <v>0</v>
      </c>
      <c r="I204" s="72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</row>
    <row r="205" spans="1:256" ht="52.5" customHeight="1" x14ac:dyDescent="0.2">
      <c r="A205" s="81"/>
      <c r="B205" s="59">
        <v>128</v>
      </c>
      <c r="C205" s="59" t="s">
        <v>175</v>
      </c>
      <c r="D205" s="82" t="s">
        <v>177</v>
      </c>
      <c r="E205" s="59" t="s">
        <v>0</v>
      </c>
      <c r="F205" s="83">
        <f>+F199</f>
        <v>383</v>
      </c>
      <c r="G205" s="83"/>
      <c r="H205" s="60">
        <f t="shared" si="8"/>
        <v>0</v>
      </c>
      <c r="I205" s="93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</row>
    <row r="206" spans="1:256" ht="12.75" x14ac:dyDescent="0.2">
      <c r="A206" s="81"/>
      <c r="B206" s="59">
        <v>129</v>
      </c>
      <c r="C206" s="59" t="s">
        <v>3</v>
      </c>
      <c r="D206" s="82" t="s">
        <v>179</v>
      </c>
      <c r="E206" s="59" t="s">
        <v>9</v>
      </c>
      <c r="F206" s="83">
        <f>+F199*0.04</f>
        <v>15.32</v>
      </c>
      <c r="G206" s="83"/>
      <c r="H206" s="60">
        <f t="shared" si="8"/>
        <v>0</v>
      </c>
      <c r="I206" s="93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  <c r="IU206" s="61"/>
      <c r="IV206" s="61"/>
    </row>
    <row r="207" spans="1:256" ht="25.5" x14ac:dyDescent="0.2">
      <c r="A207" s="81"/>
      <c r="B207" s="59">
        <v>130</v>
      </c>
      <c r="C207" s="59" t="s">
        <v>3</v>
      </c>
      <c r="D207" s="82" t="s">
        <v>205</v>
      </c>
      <c r="E207" s="59" t="s">
        <v>14</v>
      </c>
      <c r="F207" s="83">
        <f>(F199)*0.006</f>
        <v>2.298</v>
      </c>
      <c r="G207" s="83"/>
      <c r="H207" s="60">
        <f t="shared" si="8"/>
        <v>0</v>
      </c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  <c r="HP207" s="61"/>
      <c r="HQ207" s="61"/>
      <c r="HR207" s="61"/>
      <c r="HS207" s="61"/>
      <c r="HT207" s="61"/>
      <c r="HU207" s="61"/>
      <c r="HV207" s="61"/>
      <c r="HW207" s="61"/>
      <c r="HX207" s="61"/>
      <c r="HY207" s="61"/>
      <c r="HZ207" s="61"/>
      <c r="IA207" s="61"/>
      <c r="IB207" s="61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1"/>
      <c r="IN207" s="61"/>
      <c r="IO207" s="61"/>
      <c r="IP207" s="61"/>
      <c r="IQ207" s="61"/>
      <c r="IR207" s="61"/>
      <c r="IS207" s="61"/>
      <c r="IT207" s="61"/>
      <c r="IU207" s="61"/>
      <c r="IV207" s="61"/>
    </row>
    <row r="208" spans="1:256" ht="12.75" x14ac:dyDescent="0.2">
      <c r="A208" s="81"/>
      <c r="B208" s="59">
        <v>131</v>
      </c>
      <c r="C208" s="59" t="s">
        <v>3</v>
      </c>
      <c r="D208" s="82" t="s">
        <v>25</v>
      </c>
      <c r="E208" s="59" t="s">
        <v>21</v>
      </c>
      <c r="F208" s="83">
        <f>10*(F199)/10000</f>
        <v>0.38300000000000001</v>
      </c>
      <c r="G208" s="83"/>
      <c r="H208" s="60">
        <f t="shared" si="8"/>
        <v>0</v>
      </c>
      <c r="I208" s="93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  <c r="HP208" s="61"/>
      <c r="HQ208" s="61"/>
      <c r="HR208" s="61"/>
      <c r="HS208" s="61"/>
      <c r="HT208" s="61"/>
      <c r="HU208" s="61"/>
      <c r="HV208" s="61"/>
      <c r="HW208" s="61"/>
      <c r="HX208" s="61"/>
      <c r="HY208" s="61"/>
      <c r="HZ208" s="61"/>
      <c r="IA208" s="61"/>
      <c r="IB208" s="61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1"/>
      <c r="IN208" s="61"/>
      <c r="IO208" s="61"/>
      <c r="IP208" s="61"/>
      <c r="IQ208" s="61"/>
      <c r="IR208" s="61"/>
      <c r="IS208" s="61"/>
      <c r="IT208" s="61"/>
      <c r="IU208" s="61"/>
      <c r="IV208" s="61"/>
    </row>
    <row r="209" spans="1:256" ht="12.75" x14ac:dyDescent="0.2">
      <c r="A209" s="52"/>
      <c r="B209" s="52"/>
      <c r="C209" s="54"/>
      <c r="D209" s="54" t="s">
        <v>181</v>
      </c>
      <c r="E209" s="52"/>
      <c r="F209" s="55"/>
      <c r="G209" s="55"/>
      <c r="H209" s="56">
        <f>SUM(H199:H208)</f>
        <v>0</v>
      </c>
      <c r="I209" s="57"/>
      <c r="J209" s="52"/>
      <c r="K209" s="58"/>
      <c r="L209" s="52"/>
      <c r="M209" s="53"/>
      <c r="N209" s="52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</row>
    <row r="210" spans="1:256" ht="12.75" x14ac:dyDescent="0.2">
      <c r="A210" s="52"/>
      <c r="B210" s="52"/>
      <c r="C210" s="54"/>
      <c r="D210" s="54"/>
      <c r="E210" s="52"/>
      <c r="F210" s="55"/>
      <c r="G210" s="55"/>
      <c r="H210" s="56"/>
      <c r="I210" s="57"/>
      <c r="J210" s="52"/>
      <c r="K210" s="58"/>
      <c r="L210" s="52"/>
      <c r="M210" s="53"/>
      <c r="N210" s="52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</row>
    <row r="211" spans="1:256" s="1" customFormat="1" ht="12.75" x14ac:dyDescent="0.2">
      <c r="A211" s="73"/>
      <c r="B211" s="12"/>
      <c r="C211" s="4"/>
      <c r="D211" s="15"/>
      <c r="E211" s="12"/>
      <c r="F211" s="12"/>
      <c r="G211" s="25"/>
      <c r="H211" s="22"/>
      <c r="I211" s="7"/>
      <c r="J211" s="39"/>
      <c r="K211" s="40"/>
      <c r="L211" s="38"/>
      <c r="M211" s="38"/>
      <c r="N211" s="37"/>
      <c r="O211" s="26"/>
      <c r="Q211" s="26"/>
    </row>
    <row r="212" spans="1:256" ht="15" customHeight="1" x14ac:dyDescent="0.2">
      <c r="A212" s="73"/>
      <c r="B212" s="12">
        <v>6</v>
      </c>
    </row>
    <row r="213" spans="1:256" ht="12.75" x14ac:dyDescent="0.2">
      <c r="A213" s="52"/>
      <c r="B213" s="52" t="s">
        <v>10</v>
      </c>
      <c r="C213" s="54" t="s">
        <v>16</v>
      </c>
      <c r="D213" s="54"/>
      <c r="E213" s="52" t="s">
        <v>4</v>
      </c>
      <c r="F213" s="55" t="s">
        <v>5</v>
      </c>
      <c r="G213" s="55" t="s">
        <v>11</v>
      </c>
      <c r="H213" s="56" t="s">
        <v>8</v>
      </c>
      <c r="I213" s="57"/>
      <c r="J213" s="52"/>
      <c r="K213" s="58"/>
      <c r="L213" s="52"/>
      <c r="M213" s="53"/>
      <c r="N213" s="52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</row>
    <row r="214" spans="1:256" ht="12.75" x14ac:dyDescent="0.2">
      <c r="A214" s="52"/>
      <c r="B214" s="52"/>
      <c r="C214" s="54" t="s">
        <v>28</v>
      </c>
      <c r="D214" s="54"/>
      <c r="E214" s="52"/>
      <c r="F214" s="55"/>
      <c r="G214" s="55"/>
      <c r="H214" s="56"/>
      <c r="I214" s="57"/>
      <c r="J214" s="52"/>
      <c r="K214" s="58"/>
      <c r="L214" s="52"/>
      <c r="M214" s="53"/>
      <c r="N214" s="52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</row>
    <row r="215" spans="1:256" ht="25.5" x14ac:dyDescent="0.2">
      <c r="A215" s="81"/>
      <c r="B215" s="59">
        <v>132</v>
      </c>
      <c r="C215" s="59">
        <v>185804213</v>
      </c>
      <c r="D215" s="82" t="s">
        <v>150</v>
      </c>
      <c r="E215" s="59" t="s">
        <v>0</v>
      </c>
      <c r="F215" s="83">
        <f>+ (3*55*3.15*0.5*0.5)</f>
        <v>129.9375</v>
      </c>
      <c r="G215" s="83"/>
      <c r="H215" s="60">
        <f t="shared" ref="H215:H220" si="9">G215*F215</f>
        <v>0</v>
      </c>
      <c r="I215" s="93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61"/>
      <c r="ES215" s="61"/>
      <c r="ET215" s="61"/>
      <c r="EU215" s="61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1"/>
      <c r="GX215" s="61"/>
      <c r="GY215" s="61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61"/>
      <c r="HK215" s="61"/>
      <c r="HL215" s="61"/>
      <c r="HM215" s="61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61"/>
      <c r="HY215" s="61"/>
      <c r="HZ215" s="61"/>
      <c r="IA215" s="61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61"/>
      <c r="IM215" s="61"/>
      <c r="IN215" s="61"/>
      <c r="IO215" s="61"/>
      <c r="IP215" s="61"/>
      <c r="IQ215" s="61"/>
      <c r="IR215" s="61"/>
      <c r="IS215" s="61"/>
      <c r="IT215" s="61"/>
      <c r="IU215" s="61"/>
      <c r="IV215" s="61"/>
    </row>
    <row r="216" spans="1:256" s="118" customFormat="1" ht="25.5" x14ac:dyDescent="0.2">
      <c r="A216" s="110"/>
      <c r="B216" s="99">
        <v>133</v>
      </c>
      <c r="C216" s="99">
        <v>185804241</v>
      </c>
      <c r="D216" s="111" t="s">
        <v>149</v>
      </c>
      <c r="E216" s="99" t="s">
        <v>0</v>
      </c>
      <c r="F216" s="112">
        <f>+(3*5*3.15*0.5*0.5)</f>
        <v>11.8125</v>
      </c>
      <c r="G216" s="112"/>
      <c r="H216" s="113">
        <f t="shared" si="9"/>
        <v>0</v>
      </c>
      <c r="I216" s="117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  <c r="EB216" s="116"/>
      <c r="EC216" s="116"/>
      <c r="ED216" s="116"/>
      <c r="EE216" s="116"/>
      <c r="EF216" s="116"/>
      <c r="EG216" s="116"/>
      <c r="EH216" s="116"/>
      <c r="EI216" s="116"/>
      <c r="EJ216" s="116"/>
      <c r="EK216" s="116"/>
      <c r="EL216" s="116"/>
      <c r="EM216" s="116"/>
      <c r="EN216" s="116"/>
      <c r="EO216" s="116"/>
      <c r="EP216" s="116"/>
      <c r="EQ216" s="116"/>
      <c r="ER216" s="116"/>
      <c r="ES216" s="116"/>
      <c r="ET216" s="116"/>
      <c r="EU216" s="116"/>
      <c r="EV216" s="116"/>
      <c r="EW216" s="116"/>
      <c r="EX216" s="116"/>
      <c r="EY216" s="116"/>
      <c r="EZ216" s="116"/>
      <c r="FA216" s="116"/>
      <c r="FB216" s="116"/>
      <c r="FC216" s="116"/>
      <c r="FD216" s="116"/>
      <c r="FE216" s="116"/>
      <c r="FF216" s="116"/>
      <c r="FG216" s="116"/>
      <c r="FH216" s="116"/>
      <c r="FI216" s="116"/>
      <c r="FJ216" s="116"/>
      <c r="FK216" s="116"/>
      <c r="FL216" s="116"/>
      <c r="FM216" s="116"/>
      <c r="FN216" s="116"/>
      <c r="FO216" s="116"/>
      <c r="FP216" s="116"/>
      <c r="FQ216" s="116"/>
      <c r="FR216" s="116"/>
      <c r="FS216" s="116"/>
      <c r="FT216" s="116"/>
      <c r="FU216" s="116"/>
      <c r="FV216" s="116"/>
      <c r="FW216" s="116"/>
      <c r="FX216" s="116"/>
      <c r="FY216" s="116"/>
      <c r="FZ216" s="116"/>
      <c r="GA216" s="116"/>
      <c r="GB216" s="116"/>
      <c r="GC216" s="116"/>
      <c r="GD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ht="12.75" x14ac:dyDescent="0.2">
      <c r="A217" s="81"/>
      <c r="B217" s="59">
        <v>134</v>
      </c>
      <c r="C217" s="59">
        <v>185804312</v>
      </c>
      <c r="D217" s="82" t="s">
        <v>151</v>
      </c>
      <c r="E217" s="59" t="s">
        <v>9</v>
      </c>
      <c r="F217" s="83">
        <f>60*10*100/1000</f>
        <v>60</v>
      </c>
      <c r="G217" s="83"/>
      <c r="H217" s="60">
        <f t="shared" si="9"/>
        <v>0</v>
      </c>
      <c r="I217" s="93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61"/>
      <c r="HK217" s="61"/>
      <c r="HL217" s="61"/>
      <c r="HM217" s="61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61"/>
      <c r="HY217" s="61"/>
      <c r="HZ217" s="61"/>
      <c r="IA217" s="61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61"/>
      <c r="IM217" s="61"/>
      <c r="IN217" s="61"/>
      <c r="IO217" s="61"/>
      <c r="IP217" s="61"/>
      <c r="IQ217" s="61"/>
      <c r="IR217" s="61"/>
      <c r="IS217" s="61"/>
      <c r="IT217" s="61"/>
      <c r="IU217" s="61"/>
      <c r="IV217" s="61"/>
    </row>
    <row r="218" spans="1:256" ht="12.75" x14ac:dyDescent="0.2">
      <c r="A218" s="81"/>
      <c r="B218" s="59">
        <v>135</v>
      </c>
      <c r="C218" s="59">
        <v>185851121</v>
      </c>
      <c r="D218" s="82" t="s">
        <v>152</v>
      </c>
      <c r="E218" s="59" t="s">
        <v>9</v>
      </c>
      <c r="F218" s="83">
        <f>+F217</f>
        <v>60</v>
      </c>
      <c r="G218" s="83"/>
      <c r="H218" s="60">
        <f t="shared" si="9"/>
        <v>0</v>
      </c>
      <c r="I218" s="93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1"/>
      <c r="HJ218" s="61"/>
      <c r="HK218" s="61"/>
      <c r="HL218" s="61"/>
      <c r="HM218" s="61"/>
      <c r="HN218" s="61"/>
      <c r="HO218" s="61"/>
      <c r="HP218" s="61"/>
      <c r="HQ218" s="61"/>
      <c r="HR218" s="61"/>
      <c r="HS218" s="61"/>
      <c r="HT218" s="61"/>
      <c r="HU218" s="61"/>
      <c r="HV218" s="61"/>
      <c r="HW218" s="61"/>
      <c r="HX218" s="61"/>
      <c r="HY218" s="61"/>
      <c r="HZ218" s="61"/>
      <c r="IA218" s="61"/>
      <c r="IB218" s="61"/>
      <c r="IC218" s="61"/>
      <c r="ID218" s="61"/>
      <c r="IE218" s="61"/>
      <c r="IF218" s="61"/>
      <c r="IG218" s="61"/>
      <c r="IH218" s="61"/>
      <c r="II218" s="61"/>
      <c r="IJ218" s="61"/>
      <c r="IK218" s="61"/>
      <c r="IL218" s="61"/>
      <c r="IM218" s="61"/>
      <c r="IN218" s="61"/>
      <c r="IO218" s="61"/>
      <c r="IP218" s="61"/>
      <c r="IQ218" s="61"/>
      <c r="IR218" s="61"/>
      <c r="IS218" s="61"/>
      <c r="IT218" s="61"/>
      <c r="IU218" s="61"/>
      <c r="IV218" s="61"/>
    </row>
    <row r="219" spans="1:256" ht="12.75" x14ac:dyDescent="0.2">
      <c r="A219" s="81"/>
      <c r="B219" s="59">
        <v>136</v>
      </c>
      <c r="C219" s="59">
        <v>185851129</v>
      </c>
      <c r="D219" s="82" t="s">
        <v>27</v>
      </c>
      <c r="E219" s="59" t="s">
        <v>9</v>
      </c>
      <c r="F219" s="83">
        <f>+F218</f>
        <v>60</v>
      </c>
      <c r="G219" s="83"/>
      <c r="H219" s="60">
        <f t="shared" si="9"/>
        <v>0</v>
      </c>
      <c r="I219" s="93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61"/>
      <c r="HY219" s="61"/>
      <c r="HZ219" s="61"/>
      <c r="IA219" s="61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</row>
    <row r="220" spans="1:256" ht="25.5" x14ac:dyDescent="0.2">
      <c r="A220" s="81"/>
      <c r="B220" s="59">
        <v>137</v>
      </c>
      <c r="C220" s="59">
        <v>184911111</v>
      </c>
      <c r="D220" s="82" t="s">
        <v>153</v>
      </c>
      <c r="E220" s="59" t="s">
        <v>1</v>
      </c>
      <c r="F220" s="83">
        <f>+(60*3*0.1)</f>
        <v>18</v>
      </c>
      <c r="G220" s="83"/>
      <c r="H220" s="60">
        <f t="shared" si="9"/>
        <v>0</v>
      </c>
      <c r="I220" s="93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1"/>
      <c r="HJ220" s="61"/>
      <c r="HK220" s="61"/>
      <c r="HL220" s="61"/>
      <c r="HM220" s="61"/>
      <c r="HN220" s="61"/>
      <c r="HO220" s="61"/>
      <c r="HP220" s="61"/>
      <c r="HQ220" s="61"/>
      <c r="HR220" s="61"/>
      <c r="HS220" s="61"/>
      <c r="HT220" s="61"/>
      <c r="HU220" s="61"/>
      <c r="HV220" s="61"/>
      <c r="HW220" s="61"/>
      <c r="HX220" s="61"/>
      <c r="HY220" s="61"/>
      <c r="HZ220" s="61"/>
      <c r="IA220" s="61"/>
      <c r="IB220" s="61"/>
      <c r="IC220" s="61"/>
      <c r="ID220" s="61"/>
      <c r="IE220" s="61"/>
      <c r="IF220" s="61"/>
      <c r="IG220" s="61"/>
      <c r="IH220" s="61"/>
      <c r="II220" s="61"/>
      <c r="IJ220" s="61"/>
      <c r="IK220" s="61"/>
      <c r="IL220" s="61"/>
      <c r="IM220" s="61"/>
      <c r="IN220" s="61"/>
      <c r="IO220" s="61"/>
      <c r="IP220" s="61"/>
      <c r="IQ220" s="61"/>
      <c r="IR220" s="61"/>
      <c r="IS220" s="61"/>
      <c r="IT220" s="61"/>
      <c r="IU220" s="61"/>
      <c r="IV220" s="61"/>
    </row>
    <row r="221" spans="1:256" ht="12.75" x14ac:dyDescent="0.2">
      <c r="A221" s="52"/>
      <c r="B221" s="86"/>
      <c r="C221" s="87" t="s">
        <v>29</v>
      </c>
      <c r="D221" s="87"/>
      <c r="E221" s="86"/>
      <c r="F221" s="88"/>
      <c r="G221" s="88"/>
      <c r="H221" s="89"/>
      <c r="I221" s="57"/>
      <c r="J221" s="52"/>
      <c r="K221" s="58"/>
      <c r="L221" s="52"/>
      <c r="M221" s="53"/>
      <c r="N221" s="52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</row>
    <row r="222" spans="1:256" ht="25.5" x14ac:dyDescent="0.2">
      <c r="A222" s="81"/>
      <c r="B222" s="59">
        <v>138</v>
      </c>
      <c r="C222" s="59">
        <v>185804214</v>
      </c>
      <c r="D222" s="82" t="s">
        <v>154</v>
      </c>
      <c r="E222" s="59" t="s">
        <v>0</v>
      </c>
      <c r="F222" s="83">
        <f>+ (208*3)</f>
        <v>624</v>
      </c>
      <c r="G222" s="83"/>
      <c r="H222" s="60">
        <f>G222*F222</f>
        <v>0</v>
      </c>
      <c r="I222" s="93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  <c r="HP222" s="61"/>
      <c r="HQ222" s="61"/>
      <c r="HR222" s="61"/>
      <c r="HS222" s="61"/>
      <c r="HT222" s="61"/>
      <c r="HU222" s="61"/>
      <c r="HV222" s="61"/>
      <c r="HW222" s="61"/>
      <c r="HX222" s="61"/>
      <c r="HY222" s="61"/>
      <c r="HZ222" s="61"/>
      <c r="IA222" s="61"/>
      <c r="IB222" s="61"/>
      <c r="IC222" s="61"/>
      <c r="ID222" s="61"/>
      <c r="IE222" s="61"/>
      <c r="IF222" s="61"/>
      <c r="IG222" s="61"/>
      <c r="IH222" s="61"/>
      <c r="II222" s="61"/>
      <c r="IJ222" s="61"/>
      <c r="IK222" s="61"/>
      <c r="IL222" s="61"/>
      <c r="IM222" s="61"/>
      <c r="IN222" s="61"/>
      <c r="IO222" s="61"/>
      <c r="IP222" s="61"/>
      <c r="IQ222" s="61"/>
      <c r="IR222" s="61"/>
      <c r="IS222" s="61"/>
      <c r="IT222" s="61"/>
      <c r="IU222" s="61"/>
      <c r="IV222" s="61"/>
    </row>
    <row r="223" spans="1:256" s="118" customFormat="1" ht="25.5" x14ac:dyDescent="0.2">
      <c r="A223" s="110"/>
      <c r="B223" s="99">
        <v>139</v>
      </c>
      <c r="C223" s="99">
        <v>185804242</v>
      </c>
      <c r="D223" s="111" t="s">
        <v>155</v>
      </c>
      <c r="E223" s="99" t="s">
        <v>0</v>
      </c>
      <c r="F223" s="112">
        <f>+ (100*3)</f>
        <v>300</v>
      </c>
      <c r="G223" s="112"/>
      <c r="H223" s="113">
        <f>G223*F223</f>
        <v>0</v>
      </c>
      <c r="I223" s="117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  <c r="EB223" s="116"/>
      <c r="EC223" s="116"/>
      <c r="ED223" s="116"/>
      <c r="EE223" s="116"/>
      <c r="EF223" s="116"/>
      <c r="EG223" s="116"/>
      <c r="EH223" s="116"/>
      <c r="EI223" s="116"/>
      <c r="EJ223" s="116"/>
      <c r="EK223" s="116"/>
      <c r="EL223" s="116"/>
      <c r="EM223" s="116"/>
      <c r="EN223" s="116"/>
      <c r="EO223" s="116"/>
      <c r="EP223" s="116"/>
      <c r="EQ223" s="116"/>
      <c r="ER223" s="116"/>
      <c r="ES223" s="116"/>
      <c r="ET223" s="116"/>
      <c r="EU223" s="116"/>
      <c r="EV223" s="116"/>
      <c r="EW223" s="116"/>
      <c r="EX223" s="116"/>
      <c r="EY223" s="116"/>
      <c r="EZ223" s="116"/>
      <c r="FA223" s="116"/>
      <c r="FB223" s="116"/>
      <c r="FC223" s="116"/>
      <c r="FD223" s="116"/>
      <c r="FE223" s="116"/>
      <c r="FF223" s="116"/>
      <c r="FG223" s="116"/>
      <c r="FH223" s="116"/>
      <c r="FI223" s="116"/>
      <c r="FJ223" s="116"/>
      <c r="FK223" s="116"/>
      <c r="FL223" s="116"/>
      <c r="FM223" s="116"/>
      <c r="FN223" s="116"/>
      <c r="FO223" s="116"/>
      <c r="FP223" s="116"/>
      <c r="FQ223" s="116"/>
      <c r="FR223" s="116"/>
      <c r="FS223" s="116"/>
      <c r="FT223" s="116"/>
      <c r="FU223" s="116"/>
      <c r="FV223" s="116"/>
      <c r="FW223" s="116"/>
      <c r="FX223" s="116"/>
      <c r="FY223" s="116"/>
      <c r="FZ223" s="116"/>
      <c r="GA223" s="116"/>
      <c r="GB223" s="116"/>
      <c r="GC223" s="116"/>
      <c r="GD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ht="25.5" x14ac:dyDescent="0.2">
      <c r="A224" s="81"/>
      <c r="B224" s="59">
        <v>140</v>
      </c>
      <c r="C224" s="59">
        <v>185804312</v>
      </c>
      <c r="D224" s="82" t="s">
        <v>156</v>
      </c>
      <c r="E224" s="59" t="s">
        <v>9</v>
      </c>
      <c r="F224" s="83">
        <f>(208+100)*10*20/1000</f>
        <v>61.6</v>
      </c>
      <c r="G224" s="83"/>
      <c r="H224" s="60">
        <f>G224*F224</f>
        <v>0</v>
      </c>
      <c r="I224" s="93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  <c r="EO224" s="61"/>
      <c r="EP224" s="61"/>
      <c r="EQ224" s="61"/>
      <c r="ER224" s="61"/>
      <c r="ES224" s="61"/>
      <c r="ET224" s="61"/>
      <c r="EU224" s="61"/>
      <c r="EV224" s="61"/>
      <c r="EW224" s="61"/>
      <c r="EX224" s="61"/>
      <c r="EY224" s="61"/>
      <c r="EZ224" s="61"/>
      <c r="FA224" s="61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1"/>
      <c r="GX224" s="61"/>
      <c r="GY224" s="61"/>
      <c r="GZ224" s="61"/>
      <c r="HA224" s="61"/>
      <c r="HB224" s="61"/>
      <c r="HC224" s="61"/>
      <c r="HD224" s="61"/>
      <c r="HE224" s="61"/>
      <c r="HF224" s="61"/>
      <c r="HG224" s="61"/>
      <c r="HH224" s="61"/>
      <c r="HI224" s="61"/>
      <c r="HJ224" s="61"/>
      <c r="HK224" s="61"/>
      <c r="HL224" s="61"/>
      <c r="HM224" s="61"/>
      <c r="HN224" s="61"/>
      <c r="HO224" s="61"/>
      <c r="HP224" s="61"/>
      <c r="HQ224" s="61"/>
      <c r="HR224" s="61"/>
      <c r="HS224" s="61"/>
      <c r="HT224" s="61"/>
      <c r="HU224" s="61"/>
      <c r="HV224" s="61"/>
      <c r="HW224" s="61"/>
      <c r="HX224" s="61"/>
      <c r="HY224" s="61"/>
      <c r="HZ224" s="61"/>
      <c r="IA224" s="61"/>
      <c r="IB224" s="61"/>
      <c r="IC224" s="61"/>
      <c r="ID224" s="61"/>
      <c r="IE224" s="61"/>
      <c r="IF224" s="61"/>
      <c r="IG224" s="61"/>
      <c r="IH224" s="61"/>
      <c r="II224" s="61"/>
      <c r="IJ224" s="61"/>
      <c r="IK224" s="61"/>
      <c r="IL224" s="61"/>
      <c r="IM224" s="61"/>
      <c r="IN224" s="61"/>
      <c r="IO224" s="61"/>
      <c r="IP224" s="61"/>
      <c r="IQ224" s="61"/>
      <c r="IR224" s="61"/>
      <c r="IS224" s="61"/>
      <c r="IT224" s="61"/>
      <c r="IU224" s="61"/>
      <c r="IV224" s="61"/>
    </row>
    <row r="225" spans="1:256" ht="12.75" x14ac:dyDescent="0.2">
      <c r="A225" s="81"/>
      <c r="B225" s="59">
        <v>141</v>
      </c>
      <c r="C225" s="59">
        <v>185851121</v>
      </c>
      <c r="D225" s="82" t="s">
        <v>152</v>
      </c>
      <c r="E225" s="59" t="s">
        <v>9</v>
      </c>
      <c r="F225" s="83">
        <f>+F224</f>
        <v>61.6</v>
      </c>
      <c r="G225" s="83"/>
      <c r="H225" s="60">
        <f>G225*F225</f>
        <v>0</v>
      </c>
      <c r="I225" s="93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1"/>
      <c r="HJ225" s="61"/>
      <c r="HK225" s="61"/>
      <c r="HL225" s="61"/>
      <c r="HM225" s="61"/>
      <c r="HN225" s="61"/>
      <c r="HO225" s="61"/>
      <c r="HP225" s="61"/>
      <c r="HQ225" s="61"/>
      <c r="HR225" s="61"/>
      <c r="HS225" s="61"/>
      <c r="HT225" s="61"/>
      <c r="HU225" s="61"/>
      <c r="HV225" s="61"/>
      <c r="HW225" s="61"/>
      <c r="HX225" s="61"/>
      <c r="HY225" s="61"/>
      <c r="HZ225" s="61"/>
      <c r="IA225" s="61"/>
      <c r="IB225" s="61"/>
      <c r="IC225" s="61"/>
      <c r="ID225" s="61"/>
      <c r="IE225" s="61"/>
      <c r="IF225" s="61"/>
      <c r="IG225" s="61"/>
      <c r="IH225" s="61"/>
      <c r="II225" s="61"/>
      <c r="IJ225" s="61"/>
      <c r="IK225" s="61"/>
      <c r="IL225" s="61"/>
      <c r="IM225" s="61"/>
      <c r="IN225" s="61"/>
      <c r="IO225" s="61"/>
      <c r="IP225" s="61"/>
      <c r="IQ225" s="61"/>
      <c r="IR225" s="61"/>
      <c r="IS225" s="61"/>
      <c r="IT225" s="61"/>
      <c r="IU225" s="61"/>
      <c r="IV225" s="61"/>
    </row>
    <row r="226" spans="1:256" ht="12.75" x14ac:dyDescent="0.2">
      <c r="A226" s="81"/>
      <c r="B226" s="59">
        <v>142</v>
      </c>
      <c r="C226" s="59">
        <v>185851129</v>
      </c>
      <c r="D226" s="82" t="s">
        <v>27</v>
      </c>
      <c r="E226" s="59" t="s">
        <v>9</v>
      </c>
      <c r="F226" s="83">
        <f>+F225</f>
        <v>61.6</v>
      </c>
      <c r="G226" s="83"/>
      <c r="H226" s="60">
        <f>G226*F226</f>
        <v>0</v>
      </c>
      <c r="I226" s="77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1"/>
      <c r="HJ226" s="61"/>
      <c r="HK226" s="61"/>
      <c r="HL226" s="61"/>
      <c r="HM226" s="61"/>
      <c r="HN226" s="61"/>
      <c r="HO226" s="61"/>
      <c r="HP226" s="61"/>
      <c r="HQ226" s="61"/>
      <c r="HR226" s="61"/>
      <c r="HS226" s="61"/>
      <c r="HT226" s="61"/>
      <c r="HU226" s="61"/>
      <c r="HV226" s="61"/>
      <c r="HW226" s="61"/>
      <c r="HX226" s="61"/>
      <c r="HY226" s="61"/>
      <c r="HZ226" s="61"/>
      <c r="IA226" s="61"/>
      <c r="IB226" s="61"/>
      <c r="IC226" s="61"/>
      <c r="ID226" s="61"/>
      <c r="IE226" s="61"/>
      <c r="IF226" s="61"/>
      <c r="IG226" s="61"/>
      <c r="IH226" s="61"/>
      <c r="II226" s="61"/>
      <c r="IJ226" s="61"/>
      <c r="IK226" s="61"/>
      <c r="IL226" s="61"/>
      <c r="IM226" s="61"/>
      <c r="IN226" s="61"/>
      <c r="IO226" s="61"/>
      <c r="IP226" s="61"/>
      <c r="IQ226" s="61"/>
      <c r="IR226" s="61"/>
      <c r="IS226" s="61"/>
      <c r="IT226" s="61"/>
      <c r="IU226" s="61"/>
      <c r="IV226" s="61"/>
    </row>
    <row r="227" spans="1:256" ht="12.75" x14ac:dyDescent="0.2">
      <c r="A227" s="52"/>
      <c r="B227" s="86"/>
      <c r="C227" s="87" t="s">
        <v>158</v>
      </c>
      <c r="D227" s="87"/>
      <c r="E227" s="86"/>
      <c r="F227" s="88"/>
      <c r="G227" s="88"/>
      <c r="H227" s="89"/>
      <c r="I227" s="90"/>
      <c r="J227" s="52"/>
      <c r="K227" s="58"/>
      <c r="L227" s="52"/>
      <c r="M227" s="53"/>
      <c r="N227" s="52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3"/>
      <c r="IS227" s="53"/>
      <c r="IT227" s="53"/>
      <c r="IU227" s="53"/>
      <c r="IV227" s="53"/>
    </row>
    <row r="228" spans="1:256" ht="37.5" customHeight="1" x14ac:dyDescent="0.2">
      <c r="A228" s="81"/>
      <c r="B228" s="59">
        <v>143</v>
      </c>
      <c r="C228" s="59">
        <v>185804251</v>
      </c>
      <c r="D228" s="82" t="s">
        <v>157</v>
      </c>
      <c r="E228" s="59" t="s">
        <v>0</v>
      </c>
      <c r="F228" s="83">
        <f>+(13+13+13+13)</f>
        <v>52</v>
      </c>
      <c r="G228" s="83"/>
      <c r="H228" s="60">
        <f>G228*F228</f>
        <v>0</v>
      </c>
      <c r="I228" s="95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  <c r="IG228" s="61"/>
      <c r="IH228" s="61"/>
      <c r="II228" s="61"/>
      <c r="IJ228" s="61"/>
      <c r="IK228" s="61"/>
      <c r="IL228" s="61"/>
      <c r="IM228" s="61"/>
      <c r="IN228" s="61"/>
      <c r="IO228" s="61"/>
      <c r="IP228" s="61"/>
      <c r="IQ228" s="61"/>
      <c r="IR228" s="61"/>
      <c r="IS228" s="61"/>
      <c r="IT228" s="61"/>
      <c r="IU228" s="61"/>
      <c r="IV228" s="61"/>
    </row>
    <row r="229" spans="1:256" ht="12.75" x14ac:dyDescent="0.2">
      <c r="A229" s="52"/>
      <c r="B229" s="86"/>
      <c r="C229" s="54" t="s">
        <v>180</v>
      </c>
      <c r="D229" s="87"/>
      <c r="E229" s="86"/>
      <c r="F229" s="88"/>
      <c r="G229" s="88"/>
      <c r="H229" s="89"/>
      <c r="I229" s="90"/>
      <c r="J229" s="52"/>
      <c r="K229" s="58"/>
      <c r="L229" s="52"/>
      <c r="M229" s="53"/>
      <c r="N229" s="52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</row>
    <row r="230" spans="1:256" ht="12.75" x14ac:dyDescent="0.2">
      <c r="A230" s="81"/>
      <c r="B230" s="59">
        <v>144</v>
      </c>
      <c r="C230" s="59">
        <v>185804312</v>
      </c>
      <c r="D230" s="82" t="s">
        <v>183</v>
      </c>
      <c r="E230" s="59" t="s">
        <v>9</v>
      </c>
      <c r="F230" s="83">
        <f>(F199)*0.02*5</f>
        <v>38.299999999999997</v>
      </c>
      <c r="G230" s="83"/>
      <c r="H230" s="60">
        <f>G230*F230</f>
        <v>0</v>
      </c>
      <c r="I230" s="95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1"/>
      <c r="HJ230" s="61"/>
      <c r="HK230" s="61"/>
      <c r="HL230" s="61"/>
      <c r="HM230" s="61"/>
      <c r="HN230" s="61"/>
      <c r="HO230" s="61"/>
      <c r="HP230" s="61"/>
      <c r="HQ230" s="61"/>
      <c r="HR230" s="61"/>
      <c r="HS230" s="61"/>
      <c r="HT230" s="61"/>
      <c r="HU230" s="61"/>
      <c r="HV230" s="61"/>
      <c r="HW230" s="61"/>
      <c r="HX230" s="61"/>
      <c r="HY230" s="61"/>
      <c r="HZ230" s="61"/>
      <c r="IA230" s="61"/>
      <c r="IB230" s="61"/>
      <c r="IC230" s="61"/>
      <c r="ID230" s="61"/>
      <c r="IE230" s="61"/>
      <c r="IF230" s="61"/>
      <c r="IG230" s="61"/>
      <c r="IH230" s="61"/>
      <c r="II230" s="61"/>
      <c r="IJ230" s="61"/>
      <c r="IK230" s="61"/>
      <c r="IL230" s="61"/>
      <c r="IM230" s="61"/>
      <c r="IN230" s="61"/>
      <c r="IO230" s="61"/>
      <c r="IP230" s="61"/>
      <c r="IQ230" s="61"/>
      <c r="IR230" s="61"/>
      <c r="IS230" s="61"/>
      <c r="IT230" s="61"/>
      <c r="IU230" s="61"/>
      <c r="IV230" s="61"/>
    </row>
    <row r="231" spans="1:256" ht="12.75" x14ac:dyDescent="0.2">
      <c r="A231" s="81"/>
      <c r="B231" s="59">
        <v>145</v>
      </c>
      <c r="C231" s="59">
        <v>185851121</v>
      </c>
      <c r="D231" s="82" t="s">
        <v>152</v>
      </c>
      <c r="E231" s="59" t="s">
        <v>9</v>
      </c>
      <c r="F231" s="83">
        <f>+F230</f>
        <v>38.299999999999997</v>
      </c>
      <c r="G231" s="83"/>
      <c r="H231" s="60">
        <f>G231*F231</f>
        <v>0</v>
      </c>
      <c r="I231" s="95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</row>
    <row r="232" spans="1:256" ht="12.75" x14ac:dyDescent="0.2">
      <c r="A232" s="81"/>
      <c r="B232" s="59">
        <v>146</v>
      </c>
      <c r="C232" s="59">
        <v>185851129</v>
      </c>
      <c r="D232" s="82" t="s">
        <v>27</v>
      </c>
      <c r="E232" s="59" t="s">
        <v>9</v>
      </c>
      <c r="F232" s="83">
        <f>+F231</f>
        <v>38.299999999999997</v>
      </c>
      <c r="G232" s="83"/>
      <c r="H232" s="60">
        <f>G232*F232</f>
        <v>0</v>
      </c>
      <c r="I232" s="95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  <c r="HN232" s="61"/>
      <c r="HO232" s="61"/>
      <c r="HP232" s="61"/>
      <c r="HQ232" s="61"/>
      <c r="HR232" s="61"/>
      <c r="HS232" s="61"/>
      <c r="HT232" s="61"/>
      <c r="HU232" s="61"/>
      <c r="HV232" s="61"/>
      <c r="HW232" s="61"/>
      <c r="HX232" s="61"/>
      <c r="HY232" s="61"/>
      <c r="HZ232" s="61"/>
      <c r="IA232" s="61"/>
      <c r="IB232" s="61"/>
      <c r="IC232" s="61"/>
      <c r="ID232" s="61"/>
      <c r="IE232" s="61"/>
      <c r="IF232" s="61"/>
      <c r="IG232" s="61"/>
      <c r="IH232" s="61"/>
      <c r="II232" s="61"/>
      <c r="IJ232" s="61"/>
      <c r="IK232" s="61"/>
      <c r="IL232" s="61"/>
      <c r="IM232" s="61"/>
      <c r="IN232" s="61"/>
      <c r="IO232" s="61"/>
      <c r="IP232" s="61"/>
      <c r="IQ232" s="61"/>
      <c r="IR232" s="61"/>
      <c r="IS232" s="61"/>
      <c r="IT232" s="61"/>
      <c r="IU232" s="61"/>
      <c r="IV232" s="61"/>
    </row>
    <row r="233" spans="1:256" ht="25.5" x14ac:dyDescent="0.2">
      <c r="A233" s="81"/>
      <c r="B233" s="59">
        <v>147</v>
      </c>
      <c r="C233" s="59">
        <v>111151131</v>
      </c>
      <c r="D233" s="82" t="s">
        <v>182</v>
      </c>
      <c r="E233" s="59" t="s">
        <v>0</v>
      </c>
      <c r="F233" s="83">
        <f>383*2</f>
        <v>766</v>
      </c>
      <c r="G233" s="83"/>
      <c r="H233" s="60">
        <f>G233*F233</f>
        <v>0</v>
      </c>
      <c r="I233" s="95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  <c r="HB233" s="61"/>
      <c r="HC233" s="61"/>
      <c r="HD233" s="61"/>
      <c r="HE233" s="61"/>
      <c r="HF233" s="61"/>
      <c r="HG233" s="61"/>
      <c r="HH233" s="61"/>
      <c r="HI233" s="61"/>
      <c r="HJ233" s="61"/>
      <c r="HK233" s="61"/>
      <c r="HL233" s="61"/>
      <c r="HM233" s="61"/>
      <c r="HN233" s="61"/>
      <c r="HO233" s="61"/>
      <c r="HP233" s="61"/>
      <c r="HQ233" s="61"/>
      <c r="HR233" s="61"/>
      <c r="HS233" s="61"/>
      <c r="HT233" s="61"/>
      <c r="HU233" s="61"/>
      <c r="HV233" s="61"/>
      <c r="HW233" s="61"/>
      <c r="HX233" s="61"/>
      <c r="HY233" s="61"/>
      <c r="HZ233" s="61"/>
      <c r="IA233" s="61"/>
      <c r="IB233" s="61"/>
      <c r="IC233" s="61"/>
      <c r="ID233" s="61"/>
      <c r="IE233" s="61"/>
      <c r="IF233" s="61"/>
      <c r="IG233" s="61"/>
      <c r="IH233" s="61"/>
      <c r="II233" s="61"/>
      <c r="IJ233" s="61"/>
      <c r="IK233" s="61"/>
      <c r="IL233" s="61"/>
      <c r="IM233" s="61"/>
      <c r="IN233" s="61"/>
      <c r="IO233" s="61"/>
      <c r="IP233" s="61"/>
      <c r="IQ233" s="61"/>
      <c r="IR233" s="61"/>
      <c r="IS233" s="61"/>
      <c r="IT233" s="61"/>
      <c r="IU233" s="61"/>
      <c r="IV233" s="61"/>
    </row>
    <row r="234" spans="1:256" ht="15" customHeight="1" x14ac:dyDescent="0.2">
      <c r="A234" s="52"/>
      <c r="B234" s="52"/>
      <c r="C234" s="54"/>
      <c r="D234" s="54" t="s">
        <v>30</v>
      </c>
      <c r="E234" s="52"/>
      <c r="F234" s="55"/>
      <c r="G234" s="55"/>
      <c r="H234" s="56">
        <f>SUM(H215:H233)</f>
        <v>0</v>
      </c>
      <c r="I234" s="57"/>
      <c r="J234" s="52"/>
      <c r="K234" s="58"/>
      <c r="L234" s="52"/>
      <c r="M234" s="53"/>
      <c r="N234" s="52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  <c r="IU234" s="53"/>
      <c r="IV234" s="53"/>
    </row>
    <row r="235" spans="1:256" ht="15" customHeight="1" x14ac:dyDescent="0.2">
      <c r="A235" s="52"/>
      <c r="B235" s="52"/>
      <c r="C235" s="54"/>
      <c r="D235" s="54"/>
      <c r="E235" s="52"/>
      <c r="F235" s="55"/>
      <c r="G235" s="55"/>
      <c r="H235" s="56"/>
      <c r="I235" s="57"/>
      <c r="J235" s="52"/>
      <c r="K235" s="58"/>
      <c r="L235" s="52"/>
      <c r="M235" s="53"/>
      <c r="N235" s="52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  <c r="IU235" s="53"/>
      <c r="IV235" s="53"/>
    </row>
    <row r="236" spans="1:256" ht="15" customHeight="1" x14ac:dyDescent="0.2">
      <c r="A236" s="52"/>
      <c r="B236" s="52"/>
      <c r="C236" s="54"/>
      <c r="D236" s="54"/>
      <c r="E236" s="52"/>
      <c r="F236" s="55"/>
      <c r="G236" s="55"/>
      <c r="H236" s="56"/>
      <c r="I236" s="57"/>
      <c r="J236" s="52"/>
      <c r="K236" s="58"/>
      <c r="L236" s="52"/>
      <c r="M236" s="53"/>
      <c r="N236" s="52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</row>
    <row r="237" spans="1:256" ht="12.75" x14ac:dyDescent="0.2">
      <c r="A237" s="52"/>
      <c r="B237" s="52">
        <v>7</v>
      </c>
      <c r="C237" s="54"/>
      <c r="D237" s="54"/>
      <c r="E237" s="52"/>
      <c r="F237" s="55"/>
      <c r="G237" s="55"/>
      <c r="H237" s="56"/>
      <c r="I237" s="57"/>
      <c r="J237" s="52"/>
      <c r="K237" s="58"/>
      <c r="L237" s="52"/>
      <c r="M237" s="53"/>
      <c r="N237" s="52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  <c r="IU237" s="53"/>
      <c r="IV237" s="53"/>
    </row>
    <row r="238" spans="1:256" ht="12.75" x14ac:dyDescent="0.2">
      <c r="A238" s="52"/>
      <c r="B238" s="52" t="s">
        <v>10</v>
      </c>
      <c r="C238" s="54" t="s">
        <v>24</v>
      </c>
      <c r="D238" s="54"/>
      <c r="E238" s="52" t="s">
        <v>4</v>
      </c>
      <c r="F238" s="55" t="s">
        <v>5</v>
      </c>
      <c r="G238" s="55" t="s">
        <v>11</v>
      </c>
      <c r="H238" s="56" t="s">
        <v>8</v>
      </c>
      <c r="I238" s="57"/>
      <c r="J238" s="52"/>
      <c r="K238" s="58"/>
      <c r="L238" s="52"/>
      <c r="M238" s="53"/>
      <c r="N238" s="52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  <c r="IR238" s="53"/>
      <c r="IS238" s="53"/>
      <c r="IT238" s="53"/>
      <c r="IU238" s="53"/>
      <c r="IV238" s="53"/>
    </row>
    <row r="239" spans="1:256" ht="12.75" x14ac:dyDescent="0.2">
      <c r="A239" s="52"/>
      <c r="B239" s="52"/>
      <c r="C239" s="54" t="s">
        <v>28</v>
      </c>
      <c r="D239" s="54"/>
      <c r="E239" s="52"/>
      <c r="F239" s="55"/>
      <c r="G239" s="55"/>
      <c r="H239" s="56"/>
      <c r="I239" s="57"/>
      <c r="J239" s="52"/>
      <c r="K239" s="58"/>
      <c r="L239" s="52"/>
      <c r="M239" s="53"/>
      <c r="N239" s="52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  <c r="IU239" s="53"/>
      <c r="IV239" s="53"/>
    </row>
    <row r="240" spans="1:256" ht="25.5" x14ac:dyDescent="0.2">
      <c r="A240" s="81"/>
      <c r="B240" s="59">
        <v>148</v>
      </c>
      <c r="C240" s="59">
        <v>185804213</v>
      </c>
      <c r="D240" s="82" t="s">
        <v>150</v>
      </c>
      <c r="E240" s="59" t="s">
        <v>0</v>
      </c>
      <c r="F240" s="83">
        <f>+ (3*55*3.15*0.5*0.5)</f>
        <v>129.9375</v>
      </c>
      <c r="G240" s="83"/>
      <c r="H240" s="60">
        <f t="shared" ref="H240:H254" si="10">G240*F240</f>
        <v>0</v>
      </c>
      <c r="I240" s="93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  <c r="EO240" s="61"/>
      <c r="EP240" s="61"/>
      <c r="EQ240" s="61"/>
      <c r="ER240" s="61"/>
      <c r="ES240" s="61"/>
      <c r="ET240" s="61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1"/>
      <c r="HJ240" s="61"/>
      <c r="HK240" s="61"/>
      <c r="HL240" s="61"/>
      <c r="HM240" s="61"/>
      <c r="HN240" s="61"/>
      <c r="HO240" s="61"/>
      <c r="HP240" s="61"/>
      <c r="HQ240" s="61"/>
      <c r="HR240" s="61"/>
      <c r="HS240" s="61"/>
      <c r="HT240" s="61"/>
      <c r="HU240" s="61"/>
      <c r="HV240" s="61"/>
      <c r="HW240" s="61"/>
      <c r="HX240" s="61"/>
      <c r="HY240" s="61"/>
      <c r="HZ240" s="61"/>
      <c r="IA240" s="61"/>
      <c r="IB240" s="61"/>
      <c r="IC240" s="61"/>
      <c r="ID240" s="61"/>
      <c r="IE240" s="61"/>
      <c r="IF240" s="61"/>
      <c r="IG240" s="61"/>
      <c r="IH240" s="61"/>
      <c r="II240" s="61"/>
      <c r="IJ240" s="61"/>
      <c r="IK240" s="61"/>
      <c r="IL240" s="61"/>
      <c r="IM240" s="61"/>
      <c r="IN240" s="61"/>
      <c r="IO240" s="61"/>
      <c r="IP240" s="61"/>
      <c r="IQ240" s="61"/>
      <c r="IR240" s="61"/>
      <c r="IS240" s="61"/>
      <c r="IT240" s="61"/>
      <c r="IU240" s="61"/>
      <c r="IV240" s="61"/>
    </row>
    <row r="241" spans="1:256" s="118" customFormat="1" ht="25.5" x14ac:dyDescent="0.2">
      <c r="A241" s="110"/>
      <c r="B241" s="99">
        <v>149</v>
      </c>
      <c r="C241" s="99">
        <v>185804241</v>
      </c>
      <c r="D241" s="111" t="s">
        <v>149</v>
      </c>
      <c r="E241" s="99" t="s">
        <v>0</v>
      </c>
      <c r="F241" s="112">
        <f>+(3*5*3.15*0.5*0.5)</f>
        <v>11.8125</v>
      </c>
      <c r="G241" s="112"/>
      <c r="H241" s="113">
        <f t="shared" si="10"/>
        <v>0</v>
      </c>
      <c r="I241" s="117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116"/>
      <c r="FZ241" s="116"/>
      <c r="GA241" s="116"/>
      <c r="GB241" s="116"/>
      <c r="GC241" s="116"/>
      <c r="GD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ht="12.75" x14ac:dyDescent="0.2">
      <c r="A242" s="81"/>
      <c r="B242" s="59">
        <v>150</v>
      </c>
      <c r="C242" s="59">
        <v>185804312</v>
      </c>
      <c r="D242" s="82" t="s">
        <v>151</v>
      </c>
      <c r="E242" s="59" t="s">
        <v>9</v>
      </c>
      <c r="F242" s="83">
        <f>60*10*100/1000</f>
        <v>60</v>
      </c>
      <c r="G242" s="83"/>
      <c r="H242" s="60">
        <f t="shared" si="10"/>
        <v>0</v>
      </c>
      <c r="I242" s="93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61"/>
      <c r="HY242" s="61"/>
      <c r="HZ242" s="61"/>
      <c r="IA242" s="61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61"/>
      <c r="IM242" s="61"/>
      <c r="IN242" s="61"/>
      <c r="IO242" s="61"/>
      <c r="IP242" s="61"/>
      <c r="IQ242" s="61"/>
      <c r="IR242" s="61"/>
      <c r="IS242" s="61"/>
      <c r="IT242" s="61"/>
      <c r="IU242" s="61"/>
      <c r="IV242" s="61"/>
    </row>
    <row r="243" spans="1:256" ht="12.75" x14ac:dyDescent="0.2">
      <c r="A243" s="81"/>
      <c r="B243" s="59">
        <v>151</v>
      </c>
      <c r="C243" s="59">
        <v>185851121</v>
      </c>
      <c r="D243" s="82" t="s">
        <v>152</v>
      </c>
      <c r="E243" s="59" t="s">
        <v>9</v>
      </c>
      <c r="F243" s="83">
        <f>+F242</f>
        <v>60</v>
      </c>
      <c r="G243" s="83"/>
      <c r="H243" s="60">
        <f t="shared" si="10"/>
        <v>0</v>
      </c>
      <c r="I243" s="93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1"/>
      <c r="HJ243" s="61"/>
      <c r="HK243" s="61"/>
      <c r="HL243" s="61"/>
      <c r="HM243" s="61"/>
      <c r="HN243" s="61"/>
      <c r="HO243" s="61"/>
      <c r="HP243" s="61"/>
      <c r="HQ243" s="61"/>
      <c r="HR243" s="61"/>
      <c r="HS243" s="61"/>
      <c r="HT243" s="61"/>
      <c r="HU243" s="61"/>
      <c r="HV243" s="61"/>
      <c r="HW243" s="61"/>
      <c r="HX243" s="61"/>
      <c r="HY243" s="61"/>
      <c r="HZ243" s="61"/>
      <c r="IA243" s="61"/>
      <c r="IB243" s="61"/>
      <c r="IC243" s="61"/>
      <c r="ID243" s="61"/>
      <c r="IE243" s="61"/>
      <c r="IF243" s="61"/>
      <c r="IG243" s="61"/>
      <c r="IH243" s="61"/>
      <c r="II243" s="61"/>
      <c r="IJ243" s="61"/>
      <c r="IK243" s="61"/>
      <c r="IL243" s="61"/>
      <c r="IM243" s="61"/>
      <c r="IN243" s="61"/>
      <c r="IO243" s="61"/>
      <c r="IP243" s="61"/>
      <c r="IQ243" s="61"/>
      <c r="IR243" s="61"/>
      <c r="IS243" s="61"/>
      <c r="IT243" s="61"/>
      <c r="IU243" s="61"/>
      <c r="IV243" s="61"/>
    </row>
    <row r="244" spans="1:256" ht="12.75" x14ac:dyDescent="0.2">
      <c r="A244" s="81"/>
      <c r="B244" s="59">
        <v>152</v>
      </c>
      <c r="C244" s="59">
        <v>185851129</v>
      </c>
      <c r="D244" s="82" t="s">
        <v>27</v>
      </c>
      <c r="E244" s="59" t="s">
        <v>9</v>
      </c>
      <c r="F244" s="83">
        <f>+F243</f>
        <v>60</v>
      </c>
      <c r="G244" s="83"/>
      <c r="H244" s="60">
        <f t="shared" si="10"/>
        <v>0</v>
      </c>
      <c r="I244" s="93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  <c r="HP244" s="61"/>
      <c r="HQ244" s="61"/>
      <c r="HR244" s="61"/>
      <c r="HS244" s="61"/>
      <c r="HT244" s="61"/>
      <c r="HU244" s="61"/>
      <c r="HV244" s="61"/>
      <c r="HW244" s="61"/>
      <c r="HX244" s="61"/>
      <c r="HY244" s="61"/>
      <c r="HZ244" s="61"/>
      <c r="IA244" s="61"/>
      <c r="IB244" s="61"/>
      <c r="IC244" s="61"/>
      <c r="ID244" s="61"/>
      <c r="IE244" s="61"/>
      <c r="IF244" s="61"/>
      <c r="IG244" s="61"/>
      <c r="IH244" s="61"/>
      <c r="II244" s="61"/>
      <c r="IJ244" s="61"/>
      <c r="IK244" s="61"/>
      <c r="IL244" s="61"/>
      <c r="IM244" s="61"/>
      <c r="IN244" s="61"/>
      <c r="IO244" s="61"/>
      <c r="IP244" s="61"/>
      <c r="IQ244" s="61"/>
      <c r="IR244" s="61"/>
      <c r="IS244" s="61"/>
      <c r="IT244" s="61"/>
      <c r="IU244" s="61"/>
      <c r="IV244" s="61"/>
    </row>
    <row r="245" spans="1:256" ht="25.5" x14ac:dyDescent="0.2">
      <c r="A245" s="81"/>
      <c r="B245" s="59">
        <v>153</v>
      </c>
      <c r="C245" s="59">
        <v>184911111</v>
      </c>
      <c r="D245" s="82" t="s">
        <v>153</v>
      </c>
      <c r="E245" s="59" t="s">
        <v>1</v>
      </c>
      <c r="F245" s="83">
        <f>+(60*3*0.1)</f>
        <v>18</v>
      </c>
      <c r="G245" s="83"/>
      <c r="H245" s="60">
        <f t="shared" si="10"/>
        <v>0</v>
      </c>
      <c r="I245" s="93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</row>
    <row r="246" spans="1:256" ht="12.75" x14ac:dyDescent="0.2">
      <c r="A246" s="81"/>
      <c r="B246" s="59">
        <v>154</v>
      </c>
      <c r="C246" s="59" t="s">
        <v>12</v>
      </c>
      <c r="D246" s="82" t="s">
        <v>35</v>
      </c>
      <c r="E246" s="59" t="s">
        <v>1</v>
      </c>
      <c r="F246" s="83">
        <f>+F245</f>
        <v>18</v>
      </c>
      <c r="G246" s="83"/>
      <c r="H246" s="60">
        <f t="shared" si="10"/>
        <v>0</v>
      </c>
      <c r="I246" s="93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1"/>
      <c r="HJ246" s="61"/>
      <c r="HK246" s="61"/>
      <c r="HL246" s="61"/>
      <c r="HM246" s="61"/>
      <c r="HN246" s="61"/>
      <c r="HO246" s="61"/>
      <c r="HP246" s="61"/>
      <c r="HQ246" s="61"/>
      <c r="HR246" s="61"/>
      <c r="HS246" s="61"/>
      <c r="HT246" s="61"/>
      <c r="HU246" s="61"/>
      <c r="HV246" s="61"/>
      <c r="HW246" s="61"/>
      <c r="HX246" s="61"/>
      <c r="HY246" s="61"/>
      <c r="HZ246" s="61"/>
      <c r="IA246" s="61"/>
      <c r="IB246" s="61"/>
      <c r="IC246" s="61"/>
      <c r="ID246" s="61"/>
      <c r="IE246" s="61"/>
      <c r="IF246" s="61"/>
      <c r="IG246" s="61"/>
      <c r="IH246" s="61"/>
      <c r="II246" s="61"/>
      <c r="IJ246" s="61"/>
      <c r="IK246" s="61"/>
      <c r="IL246" s="61"/>
      <c r="IM246" s="61"/>
      <c r="IN246" s="61"/>
      <c r="IO246" s="61"/>
      <c r="IP246" s="61"/>
      <c r="IQ246" s="61"/>
      <c r="IR246" s="61"/>
      <c r="IS246" s="61"/>
      <c r="IT246" s="61"/>
      <c r="IU246" s="61"/>
      <c r="IV246" s="61"/>
    </row>
    <row r="247" spans="1:256" ht="12.75" x14ac:dyDescent="0.2">
      <c r="A247" s="81"/>
      <c r="B247" s="59">
        <v>155</v>
      </c>
      <c r="C247" s="59">
        <v>184852322</v>
      </c>
      <c r="D247" s="82" t="s">
        <v>159</v>
      </c>
      <c r="E247" s="59" t="s">
        <v>1</v>
      </c>
      <c r="F247" s="83">
        <v>60</v>
      </c>
      <c r="G247" s="83"/>
      <c r="H247" s="60">
        <f t="shared" si="10"/>
        <v>0</v>
      </c>
      <c r="I247" s="93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1"/>
      <c r="HJ247" s="61"/>
      <c r="HK247" s="61"/>
      <c r="HL247" s="61"/>
      <c r="HM247" s="61"/>
      <c r="HN247" s="61"/>
      <c r="HO247" s="61"/>
      <c r="HP247" s="61"/>
      <c r="HQ247" s="61"/>
      <c r="HR247" s="61"/>
      <c r="HS247" s="61"/>
      <c r="HT247" s="61"/>
      <c r="HU247" s="61"/>
      <c r="HV247" s="61"/>
      <c r="HW247" s="61"/>
      <c r="HX247" s="61"/>
      <c r="HY247" s="61"/>
      <c r="HZ247" s="61"/>
      <c r="IA247" s="61"/>
      <c r="IB247" s="61"/>
      <c r="IC247" s="61"/>
      <c r="ID247" s="61"/>
      <c r="IE247" s="61"/>
      <c r="IF247" s="61"/>
      <c r="IG247" s="61"/>
      <c r="IH247" s="61"/>
      <c r="II247" s="61"/>
      <c r="IJ247" s="61"/>
      <c r="IK247" s="61"/>
      <c r="IL247" s="61"/>
      <c r="IM247" s="61"/>
      <c r="IN247" s="61"/>
      <c r="IO247" s="61"/>
      <c r="IP247" s="61"/>
      <c r="IQ247" s="61"/>
      <c r="IR247" s="61"/>
      <c r="IS247" s="61"/>
      <c r="IT247" s="61"/>
      <c r="IU247" s="61"/>
      <c r="IV247" s="61"/>
    </row>
    <row r="248" spans="1:256" ht="25.5" x14ac:dyDescent="0.2">
      <c r="A248" s="81"/>
      <c r="B248" s="59">
        <v>156</v>
      </c>
      <c r="C248" s="59">
        <v>185802114</v>
      </c>
      <c r="D248" s="82" t="s">
        <v>160</v>
      </c>
      <c r="E248" s="59" t="s">
        <v>2</v>
      </c>
      <c r="F248" s="91">
        <f>+(60*100)*0.001*0.001</f>
        <v>6.0000000000000001E-3</v>
      </c>
      <c r="G248" s="83"/>
      <c r="H248" s="60">
        <f t="shared" si="10"/>
        <v>0</v>
      </c>
      <c r="I248" s="93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  <c r="HP248" s="61"/>
      <c r="HQ248" s="61"/>
      <c r="HR248" s="61"/>
      <c r="HS248" s="61"/>
      <c r="HT248" s="61"/>
      <c r="HU248" s="61"/>
      <c r="HV248" s="61"/>
      <c r="HW248" s="61"/>
      <c r="HX248" s="61"/>
      <c r="HY248" s="61"/>
      <c r="HZ248" s="61"/>
      <c r="IA248" s="61"/>
      <c r="IB248" s="61"/>
      <c r="IC248" s="61"/>
      <c r="ID248" s="61"/>
      <c r="IE248" s="61"/>
      <c r="IF248" s="61"/>
      <c r="IG248" s="61"/>
      <c r="IH248" s="61"/>
      <c r="II248" s="61"/>
      <c r="IJ248" s="61"/>
      <c r="IK248" s="61"/>
      <c r="IL248" s="61"/>
      <c r="IM248" s="61"/>
      <c r="IN248" s="61"/>
      <c r="IO248" s="61"/>
      <c r="IP248" s="61"/>
      <c r="IQ248" s="61"/>
      <c r="IR248" s="61"/>
      <c r="IS248" s="61"/>
      <c r="IT248" s="61"/>
      <c r="IU248" s="61"/>
      <c r="IV248" s="61"/>
    </row>
    <row r="249" spans="1:256" ht="25.5" x14ac:dyDescent="0.2">
      <c r="A249" s="81"/>
      <c r="B249" s="59">
        <v>157</v>
      </c>
      <c r="C249" s="59">
        <v>184911421</v>
      </c>
      <c r="D249" s="82" t="s">
        <v>161</v>
      </c>
      <c r="E249" s="59" t="s">
        <v>0</v>
      </c>
      <c r="F249" s="83">
        <f>+(55*3.14*0.5*0.5)</f>
        <v>43.175000000000004</v>
      </c>
      <c r="G249" s="83"/>
      <c r="H249" s="60">
        <f t="shared" si="10"/>
        <v>0</v>
      </c>
      <c r="I249" s="93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  <c r="HP249" s="61"/>
      <c r="HQ249" s="61"/>
      <c r="HR249" s="61"/>
      <c r="HS249" s="61"/>
      <c r="HT249" s="61"/>
      <c r="HU249" s="61"/>
      <c r="HV249" s="61"/>
      <c r="HW249" s="61"/>
      <c r="HX249" s="61"/>
      <c r="HY249" s="61"/>
      <c r="HZ249" s="61"/>
      <c r="IA249" s="61"/>
      <c r="IB249" s="61"/>
      <c r="IC249" s="61"/>
      <c r="ID249" s="61"/>
      <c r="IE249" s="61"/>
      <c r="IF249" s="61"/>
      <c r="IG249" s="61"/>
      <c r="IH249" s="61"/>
      <c r="II249" s="61"/>
      <c r="IJ249" s="61"/>
      <c r="IK249" s="61"/>
      <c r="IL249" s="61"/>
      <c r="IM249" s="61"/>
      <c r="IN249" s="61"/>
      <c r="IO249" s="61"/>
      <c r="IP249" s="61"/>
      <c r="IQ249" s="61"/>
      <c r="IR249" s="61"/>
      <c r="IS249" s="61"/>
      <c r="IT249" s="61"/>
      <c r="IU249" s="61"/>
      <c r="IV249" s="61"/>
    </row>
    <row r="250" spans="1:256" s="118" customFormat="1" ht="25.5" x14ac:dyDescent="0.2">
      <c r="A250" s="110"/>
      <c r="B250" s="99">
        <v>158</v>
      </c>
      <c r="C250" s="99">
        <v>184911423</v>
      </c>
      <c r="D250" s="111" t="s">
        <v>162</v>
      </c>
      <c r="E250" s="99" t="s">
        <v>0</v>
      </c>
      <c r="F250" s="112">
        <f>+ (5*3.14*0.5*0.5)</f>
        <v>3.9250000000000003</v>
      </c>
      <c r="G250" s="112"/>
      <c r="H250" s="113">
        <f t="shared" si="10"/>
        <v>0</v>
      </c>
      <c r="I250" s="117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  <c r="EB250" s="116"/>
      <c r="EC250" s="116"/>
      <c r="ED250" s="116"/>
      <c r="EE250" s="116"/>
      <c r="EF250" s="116"/>
      <c r="EG250" s="116"/>
      <c r="EH250" s="116"/>
      <c r="EI250" s="116"/>
      <c r="EJ250" s="116"/>
      <c r="EK250" s="116"/>
      <c r="EL250" s="116"/>
      <c r="EM250" s="116"/>
      <c r="EN250" s="116"/>
      <c r="EO250" s="116"/>
      <c r="EP250" s="116"/>
      <c r="EQ250" s="116"/>
      <c r="ER250" s="116"/>
      <c r="ES250" s="116"/>
      <c r="ET250" s="116"/>
      <c r="EU250" s="116"/>
      <c r="EV250" s="116"/>
      <c r="EW250" s="116"/>
      <c r="EX250" s="116"/>
      <c r="EY250" s="116"/>
      <c r="EZ250" s="116"/>
      <c r="FA250" s="116"/>
      <c r="FB250" s="116"/>
      <c r="FC250" s="116"/>
      <c r="FD250" s="116"/>
      <c r="FE250" s="116"/>
      <c r="FF250" s="116"/>
      <c r="FG250" s="116"/>
      <c r="FH250" s="116"/>
      <c r="FI250" s="116"/>
      <c r="FJ250" s="116"/>
      <c r="FK250" s="116"/>
      <c r="FL250" s="116"/>
      <c r="FM250" s="116"/>
      <c r="FN250" s="116"/>
      <c r="FO250" s="116"/>
      <c r="FP250" s="116"/>
      <c r="FQ250" s="116"/>
      <c r="FR250" s="116"/>
      <c r="FS250" s="116"/>
      <c r="FT250" s="116"/>
      <c r="FU250" s="116"/>
      <c r="FV250" s="116"/>
      <c r="FW250" s="116"/>
      <c r="FX250" s="116"/>
      <c r="FY250" s="116"/>
      <c r="FZ250" s="116"/>
      <c r="GA250" s="116"/>
      <c r="GB250" s="116"/>
      <c r="GC250" s="116"/>
      <c r="GD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ht="25.5" x14ac:dyDescent="0.2">
      <c r="A251" s="81"/>
      <c r="B251" s="59">
        <v>159</v>
      </c>
      <c r="C251" s="59">
        <v>998231311</v>
      </c>
      <c r="D251" s="82" t="s">
        <v>148</v>
      </c>
      <c r="E251" s="59" t="s">
        <v>2</v>
      </c>
      <c r="F251" s="83">
        <f>F254*0.3+F246*0.003+F248</f>
        <v>1.4730000000000001</v>
      </c>
      <c r="G251" s="83"/>
      <c r="H251" s="60">
        <f t="shared" si="10"/>
        <v>0</v>
      </c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  <c r="HP251" s="61"/>
      <c r="HQ251" s="61"/>
      <c r="HR251" s="61"/>
      <c r="HS251" s="61"/>
      <c r="HT251" s="61"/>
      <c r="HU251" s="61"/>
      <c r="HV251" s="61"/>
      <c r="HW251" s="61"/>
      <c r="HX251" s="61"/>
      <c r="HY251" s="61"/>
      <c r="HZ251" s="61"/>
      <c r="IA251" s="61"/>
      <c r="IB251" s="61"/>
      <c r="IC251" s="61"/>
      <c r="ID251" s="61"/>
      <c r="IE251" s="61"/>
      <c r="IF251" s="61"/>
      <c r="IG251" s="61"/>
      <c r="IH251" s="61"/>
      <c r="II251" s="61"/>
      <c r="IJ251" s="61"/>
      <c r="IK251" s="61"/>
      <c r="IL251" s="61"/>
      <c r="IM251" s="61"/>
      <c r="IN251" s="61"/>
      <c r="IO251" s="61"/>
      <c r="IP251" s="61"/>
      <c r="IQ251" s="61"/>
      <c r="IR251" s="61"/>
      <c r="IS251" s="61"/>
      <c r="IT251" s="61"/>
      <c r="IU251" s="61"/>
      <c r="IV251" s="61"/>
    </row>
    <row r="252" spans="1:256" ht="12.75" x14ac:dyDescent="0.2">
      <c r="A252" s="81"/>
      <c r="B252" s="59">
        <v>160</v>
      </c>
      <c r="C252" s="59" t="s">
        <v>3</v>
      </c>
      <c r="D252" s="82" t="s">
        <v>163</v>
      </c>
      <c r="E252" s="59" t="s">
        <v>1</v>
      </c>
      <c r="F252" s="83">
        <f>+F246</f>
        <v>18</v>
      </c>
      <c r="G252" s="83"/>
      <c r="H252" s="60">
        <f t="shared" si="10"/>
        <v>0</v>
      </c>
      <c r="I252" s="93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  <c r="HP252" s="61"/>
      <c r="HQ252" s="61"/>
      <c r="HR252" s="61"/>
      <c r="HS252" s="61"/>
      <c r="HT252" s="61"/>
      <c r="HU252" s="61"/>
      <c r="HV252" s="61"/>
      <c r="HW252" s="61"/>
      <c r="HX252" s="61"/>
      <c r="HY252" s="61"/>
      <c r="HZ252" s="61"/>
      <c r="IA252" s="61"/>
      <c r="IB252" s="61"/>
      <c r="IC252" s="61"/>
      <c r="ID252" s="61"/>
      <c r="IE252" s="61"/>
      <c r="IF252" s="61"/>
      <c r="IG252" s="61"/>
      <c r="IH252" s="61"/>
      <c r="II252" s="61"/>
      <c r="IJ252" s="61"/>
      <c r="IK252" s="61"/>
      <c r="IL252" s="61"/>
      <c r="IM252" s="61"/>
      <c r="IN252" s="61"/>
      <c r="IO252" s="61"/>
      <c r="IP252" s="61"/>
      <c r="IQ252" s="61"/>
      <c r="IR252" s="61"/>
      <c r="IS252" s="61"/>
      <c r="IT252" s="61"/>
      <c r="IU252" s="61"/>
      <c r="IV252" s="61"/>
    </row>
    <row r="253" spans="1:256" ht="12.75" x14ac:dyDescent="0.2">
      <c r="A253" s="81"/>
      <c r="B253" s="59">
        <v>161</v>
      </c>
      <c r="C253" s="59" t="s">
        <v>3</v>
      </c>
      <c r="D253" s="82" t="s">
        <v>31</v>
      </c>
      <c r="E253" s="59" t="s">
        <v>14</v>
      </c>
      <c r="F253" s="83">
        <f>F248*1000</f>
        <v>6</v>
      </c>
      <c r="G253" s="83"/>
      <c r="H253" s="60">
        <f t="shared" si="10"/>
        <v>0</v>
      </c>
      <c r="I253" s="93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1"/>
      <c r="HJ253" s="61"/>
      <c r="HK253" s="61"/>
      <c r="HL253" s="61"/>
      <c r="HM253" s="61"/>
      <c r="HN253" s="61"/>
      <c r="HO253" s="61"/>
      <c r="HP253" s="61"/>
      <c r="HQ253" s="61"/>
      <c r="HR253" s="61"/>
      <c r="HS253" s="61"/>
      <c r="HT253" s="61"/>
      <c r="HU253" s="61"/>
      <c r="HV253" s="61"/>
      <c r="HW253" s="61"/>
      <c r="HX253" s="61"/>
      <c r="HY253" s="61"/>
      <c r="HZ253" s="61"/>
      <c r="IA253" s="61"/>
      <c r="IB253" s="61"/>
      <c r="IC253" s="61"/>
      <c r="ID253" s="61"/>
      <c r="IE253" s="61"/>
      <c r="IF253" s="61"/>
      <c r="IG253" s="61"/>
      <c r="IH253" s="61"/>
      <c r="II253" s="61"/>
      <c r="IJ253" s="61"/>
      <c r="IK253" s="61"/>
      <c r="IL253" s="61"/>
      <c r="IM253" s="61"/>
      <c r="IN253" s="61"/>
      <c r="IO253" s="61"/>
      <c r="IP253" s="61"/>
      <c r="IQ253" s="61"/>
      <c r="IR253" s="61"/>
      <c r="IS253" s="61"/>
      <c r="IT253" s="61"/>
      <c r="IU253" s="61"/>
      <c r="IV253" s="61"/>
    </row>
    <row r="254" spans="1:256" ht="12.75" x14ac:dyDescent="0.2">
      <c r="A254" s="81"/>
      <c r="B254" s="59">
        <v>162</v>
      </c>
      <c r="C254" s="59" t="s">
        <v>3</v>
      </c>
      <c r="D254" s="82" t="s">
        <v>164</v>
      </c>
      <c r="E254" s="59" t="s">
        <v>9</v>
      </c>
      <c r="F254" s="83">
        <f>(F249+F250)*0.1</f>
        <v>4.71</v>
      </c>
      <c r="G254" s="83"/>
      <c r="H254" s="60">
        <f t="shared" si="10"/>
        <v>0</v>
      </c>
      <c r="I254" s="93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1"/>
      <c r="HJ254" s="61"/>
      <c r="HK254" s="61"/>
      <c r="HL254" s="61"/>
      <c r="HM254" s="61"/>
      <c r="HN254" s="61"/>
      <c r="HO254" s="61"/>
      <c r="HP254" s="61"/>
      <c r="HQ254" s="61"/>
      <c r="HR254" s="61"/>
      <c r="HS254" s="61"/>
      <c r="HT254" s="61"/>
      <c r="HU254" s="61"/>
      <c r="HV254" s="61"/>
      <c r="HW254" s="61"/>
      <c r="HX254" s="61"/>
      <c r="HY254" s="61"/>
      <c r="HZ254" s="61"/>
      <c r="IA254" s="61"/>
      <c r="IB254" s="61"/>
      <c r="IC254" s="61"/>
      <c r="ID254" s="61"/>
      <c r="IE254" s="61"/>
      <c r="IF254" s="61"/>
      <c r="IG254" s="61"/>
      <c r="IH254" s="61"/>
      <c r="II254" s="61"/>
      <c r="IJ254" s="61"/>
      <c r="IK254" s="61"/>
      <c r="IL254" s="61"/>
      <c r="IM254" s="61"/>
      <c r="IN254" s="61"/>
      <c r="IO254" s="61"/>
      <c r="IP254" s="61"/>
      <c r="IQ254" s="61"/>
      <c r="IR254" s="61"/>
      <c r="IS254" s="61"/>
      <c r="IT254" s="61"/>
      <c r="IU254" s="61"/>
      <c r="IV254" s="61"/>
    </row>
    <row r="255" spans="1:256" ht="12.75" x14ac:dyDescent="0.2">
      <c r="A255" s="52"/>
      <c r="B255" s="86"/>
      <c r="C255" s="87" t="s">
        <v>29</v>
      </c>
      <c r="D255" s="87"/>
      <c r="E255" s="86"/>
      <c r="F255" s="88"/>
      <c r="G255" s="88"/>
      <c r="H255" s="89"/>
      <c r="I255" s="57"/>
      <c r="J255" s="52"/>
      <c r="K255" s="58"/>
      <c r="L255" s="52"/>
      <c r="M255" s="53"/>
      <c r="N255" s="52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  <c r="IK255" s="53"/>
      <c r="IL255" s="53"/>
      <c r="IM255" s="53"/>
      <c r="IN255" s="53"/>
      <c r="IO255" s="53"/>
      <c r="IP255" s="53"/>
      <c r="IQ255" s="53"/>
      <c r="IR255" s="53"/>
      <c r="IS255" s="53"/>
      <c r="IT255" s="53"/>
      <c r="IU255" s="53"/>
      <c r="IV255" s="53"/>
    </row>
    <row r="256" spans="1:256" ht="25.5" x14ac:dyDescent="0.2">
      <c r="A256" s="81"/>
      <c r="B256" s="59">
        <v>163</v>
      </c>
      <c r="C256" s="59">
        <v>185804214</v>
      </c>
      <c r="D256" s="82" t="s">
        <v>154</v>
      </c>
      <c r="E256" s="59" t="s">
        <v>0</v>
      </c>
      <c r="F256" s="83">
        <f>+ (208*3)</f>
        <v>624</v>
      </c>
      <c r="G256" s="83"/>
      <c r="H256" s="60">
        <f t="shared" ref="H256:H266" si="11">G256*F256</f>
        <v>0</v>
      </c>
      <c r="I256" s="93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  <c r="HP256" s="61"/>
      <c r="HQ256" s="61"/>
      <c r="HR256" s="61"/>
      <c r="HS256" s="61"/>
      <c r="HT256" s="61"/>
      <c r="HU256" s="61"/>
      <c r="HV256" s="61"/>
      <c r="HW256" s="61"/>
      <c r="HX256" s="61"/>
      <c r="HY256" s="61"/>
      <c r="HZ256" s="61"/>
      <c r="IA256" s="61"/>
      <c r="IB256" s="61"/>
      <c r="IC256" s="61"/>
      <c r="ID256" s="61"/>
      <c r="IE256" s="61"/>
      <c r="IF256" s="61"/>
      <c r="IG256" s="61"/>
      <c r="IH256" s="61"/>
      <c r="II256" s="61"/>
      <c r="IJ256" s="61"/>
      <c r="IK256" s="61"/>
      <c r="IL256" s="61"/>
      <c r="IM256" s="61"/>
      <c r="IN256" s="61"/>
      <c r="IO256" s="61"/>
      <c r="IP256" s="61"/>
      <c r="IQ256" s="61"/>
      <c r="IR256" s="61"/>
      <c r="IS256" s="61"/>
      <c r="IT256" s="61"/>
      <c r="IU256" s="61"/>
      <c r="IV256" s="61"/>
    </row>
    <row r="257" spans="1:256" s="118" customFormat="1" ht="25.5" x14ac:dyDescent="0.2">
      <c r="A257" s="110"/>
      <c r="B257" s="99">
        <v>164</v>
      </c>
      <c r="C257" s="99">
        <v>185804242</v>
      </c>
      <c r="D257" s="111" t="s">
        <v>155</v>
      </c>
      <c r="E257" s="99" t="s">
        <v>0</v>
      </c>
      <c r="F257" s="112">
        <f>+ (100*3)</f>
        <v>300</v>
      </c>
      <c r="G257" s="112"/>
      <c r="H257" s="113">
        <f t="shared" si="11"/>
        <v>0</v>
      </c>
      <c r="I257" s="117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  <c r="ES257" s="116"/>
      <c r="ET257" s="116"/>
      <c r="EU257" s="116"/>
      <c r="EV257" s="116"/>
      <c r="EW257" s="116"/>
      <c r="EX257" s="116"/>
      <c r="EY257" s="116"/>
      <c r="EZ257" s="116"/>
      <c r="FA257" s="116"/>
      <c r="FB257" s="116"/>
      <c r="FC257" s="116"/>
      <c r="FD257" s="116"/>
      <c r="FE257" s="116"/>
      <c r="FF257" s="116"/>
      <c r="FG257" s="116"/>
      <c r="FH257" s="116"/>
      <c r="FI257" s="116"/>
      <c r="FJ257" s="116"/>
      <c r="FK257" s="116"/>
      <c r="FL257" s="116"/>
      <c r="FM257" s="116"/>
      <c r="FN257" s="116"/>
      <c r="FO257" s="116"/>
      <c r="FP257" s="116"/>
      <c r="FQ257" s="116"/>
      <c r="FR257" s="116"/>
      <c r="FS257" s="116"/>
      <c r="FT257" s="116"/>
      <c r="FU257" s="116"/>
      <c r="FV257" s="116"/>
      <c r="FW257" s="116"/>
      <c r="FX257" s="116"/>
      <c r="FY257" s="116"/>
      <c r="FZ257" s="116"/>
      <c r="GA257" s="116"/>
      <c r="GB257" s="116"/>
      <c r="GC257" s="116"/>
      <c r="GD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ht="25.5" x14ac:dyDescent="0.2">
      <c r="A258" s="81"/>
      <c r="B258" s="59">
        <v>165</v>
      </c>
      <c r="C258" s="59">
        <v>185804312</v>
      </c>
      <c r="D258" s="82" t="s">
        <v>156</v>
      </c>
      <c r="E258" s="59" t="s">
        <v>9</v>
      </c>
      <c r="F258" s="83">
        <f>(208+100)*10*20/1000</f>
        <v>61.6</v>
      </c>
      <c r="G258" s="83"/>
      <c r="H258" s="60">
        <f t="shared" si="11"/>
        <v>0</v>
      </c>
      <c r="I258" s="95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  <c r="EO258" s="61"/>
      <c r="EP258" s="61"/>
      <c r="EQ258" s="61"/>
      <c r="ER258" s="61"/>
      <c r="ES258" s="61"/>
      <c r="ET258" s="61"/>
      <c r="EU258" s="61"/>
      <c r="EV258" s="61"/>
      <c r="EW258" s="61"/>
      <c r="EX258" s="61"/>
      <c r="EY258" s="61"/>
      <c r="EZ258" s="61"/>
      <c r="FA258" s="61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1"/>
      <c r="GX258" s="61"/>
      <c r="GY258" s="61"/>
      <c r="GZ258" s="61"/>
      <c r="HA258" s="61"/>
      <c r="HB258" s="61"/>
      <c r="HC258" s="61"/>
      <c r="HD258" s="61"/>
      <c r="HE258" s="61"/>
      <c r="HF258" s="61"/>
      <c r="HG258" s="61"/>
      <c r="HH258" s="61"/>
      <c r="HI258" s="61"/>
      <c r="HJ258" s="61"/>
      <c r="HK258" s="61"/>
      <c r="HL258" s="61"/>
      <c r="HM258" s="61"/>
      <c r="HN258" s="61"/>
      <c r="HO258" s="61"/>
      <c r="HP258" s="61"/>
      <c r="HQ258" s="61"/>
      <c r="HR258" s="61"/>
      <c r="HS258" s="61"/>
      <c r="HT258" s="61"/>
      <c r="HU258" s="61"/>
      <c r="HV258" s="61"/>
      <c r="HW258" s="61"/>
      <c r="HX258" s="61"/>
      <c r="HY258" s="61"/>
      <c r="HZ258" s="61"/>
      <c r="IA258" s="61"/>
      <c r="IB258" s="61"/>
      <c r="IC258" s="61"/>
      <c r="ID258" s="61"/>
      <c r="IE258" s="61"/>
      <c r="IF258" s="61"/>
      <c r="IG258" s="61"/>
      <c r="IH258" s="61"/>
      <c r="II258" s="61"/>
      <c r="IJ258" s="61"/>
      <c r="IK258" s="61"/>
      <c r="IL258" s="61"/>
      <c r="IM258" s="61"/>
      <c r="IN258" s="61"/>
      <c r="IO258" s="61"/>
      <c r="IP258" s="61"/>
      <c r="IQ258" s="61"/>
      <c r="IR258" s="61"/>
      <c r="IS258" s="61"/>
      <c r="IT258" s="61"/>
      <c r="IU258" s="61"/>
      <c r="IV258" s="61"/>
    </row>
    <row r="259" spans="1:256" ht="12.75" x14ac:dyDescent="0.2">
      <c r="A259" s="81"/>
      <c r="B259" s="59">
        <v>166</v>
      </c>
      <c r="C259" s="59">
        <v>185851121</v>
      </c>
      <c r="D259" s="82" t="s">
        <v>152</v>
      </c>
      <c r="E259" s="59" t="s">
        <v>9</v>
      </c>
      <c r="F259" s="83">
        <f>+F258</f>
        <v>61.6</v>
      </c>
      <c r="G259" s="83"/>
      <c r="H259" s="60">
        <f t="shared" si="11"/>
        <v>0</v>
      </c>
      <c r="I259" s="95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1"/>
      <c r="HJ259" s="61"/>
      <c r="HK259" s="61"/>
      <c r="HL259" s="61"/>
      <c r="HM259" s="61"/>
      <c r="HN259" s="61"/>
      <c r="HO259" s="61"/>
      <c r="HP259" s="61"/>
      <c r="HQ259" s="61"/>
      <c r="HR259" s="61"/>
      <c r="HS259" s="61"/>
      <c r="HT259" s="61"/>
      <c r="HU259" s="61"/>
      <c r="HV259" s="61"/>
      <c r="HW259" s="61"/>
      <c r="HX259" s="61"/>
      <c r="HY259" s="61"/>
      <c r="HZ259" s="61"/>
      <c r="IA259" s="61"/>
      <c r="IB259" s="61"/>
      <c r="IC259" s="61"/>
      <c r="ID259" s="61"/>
      <c r="IE259" s="61"/>
      <c r="IF259" s="61"/>
      <c r="IG259" s="61"/>
      <c r="IH259" s="61"/>
      <c r="II259" s="61"/>
      <c r="IJ259" s="61"/>
      <c r="IK259" s="61"/>
      <c r="IL259" s="61"/>
      <c r="IM259" s="61"/>
      <c r="IN259" s="61"/>
      <c r="IO259" s="61"/>
      <c r="IP259" s="61"/>
      <c r="IQ259" s="61"/>
      <c r="IR259" s="61"/>
      <c r="IS259" s="61"/>
      <c r="IT259" s="61"/>
      <c r="IU259" s="61"/>
      <c r="IV259" s="61"/>
    </row>
    <row r="260" spans="1:256" ht="12.75" x14ac:dyDescent="0.2">
      <c r="A260" s="81"/>
      <c r="B260" s="59">
        <v>167</v>
      </c>
      <c r="C260" s="59">
        <v>185851129</v>
      </c>
      <c r="D260" s="82" t="s">
        <v>27</v>
      </c>
      <c r="E260" s="59" t="s">
        <v>9</v>
      </c>
      <c r="F260" s="83">
        <f>+F259</f>
        <v>61.6</v>
      </c>
      <c r="G260" s="83"/>
      <c r="H260" s="60">
        <f t="shared" si="11"/>
        <v>0</v>
      </c>
      <c r="I260" s="76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1"/>
      <c r="GX260" s="61"/>
      <c r="GY260" s="61"/>
      <c r="GZ260" s="61"/>
      <c r="HA260" s="61"/>
      <c r="HB260" s="61"/>
      <c r="HC260" s="61"/>
      <c r="HD260" s="61"/>
      <c r="HE260" s="61"/>
      <c r="HF260" s="61"/>
      <c r="HG260" s="61"/>
      <c r="HH260" s="61"/>
      <c r="HI260" s="61"/>
      <c r="HJ260" s="61"/>
      <c r="HK260" s="61"/>
      <c r="HL260" s="61"/>
      <c r="HM260" s="61"/>
      <c r="HN260" s="61"/>
      <c r="HO260" s="61"/>
      <c r="HP260" s="61"/>
      <c r="HQ260" s="61"/>
      <c r="HR260" s="61"/>
      <c r="HS260" s="61"/>
      <c r="HT260" s="61"/>
      <c r="HU260" s="61"/>
      <c r="HV260" s="61"/>
      <c r="HW260" s="61"/>
      <c r="HX260" s="61"/>
      <c r="HY260" s="61"/>
      <c r="HZ260" s="61"/>
      <c r="IA260" s="61"/>
      <c r="IB260" s="61"/>
      <c r="IC260" s="61"/>
      <c r="ID260" s="61"/>
      <c r="IE260" s="61"/>
      <c r="IF260" s="61"/>
      <c r="IG260" s="61"/>
      <c r="IH260" s="61"/>
      <c r="II260" s="61"/>
      <c r="IJ260" s="61"/>
      <c r="IK260" s="61"/>
      <c r="IL260" s="61"/>
      <c r="IM260" s="61"/>
      <c r="IN260" s="61"/>
      <c r="IO260" s="61"/>
      <c r="IP260" s="61"/>
      <c r="IQ260" s="61"/>
      <c r="IR260" s="61"/>
      <c r="IS260" s="61"/>
      <c r="IT260" s="61"/>
      <c r="IU260" s="61"/>
      <c r="IV260" s="61"/>
    </row>
    <row r="261" spans="1:256" ht="25.5" x14ac:dyDescent="0.2">
      <c r="A261" s="81"/>
      <c r="B261" s="59">
        <v>168</v>
      </c>
      <c r="C261" s="59">
        <v>185802114</v>
      </c>
      <c r="D261" s="82" t="s">
        <v>165</v>
      </c>
      <c r="E261" s="59" t="s">
        <v>2</v>
      </c>
      <c r="F261" s="91">
        <f>+ (308*20)*0.001*0.001</f>
        <v>6.1600000000000005E-3</v>
      </c>
      <c r="G261" s="83"/>
      <c r="H261" s="60">
        <f t="shared" si="11"/>
        <v>0</v>
      </c>
      <c r="I261" s="95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  <c r="EO261" s="61"/>
      <c r="EP261" s="61"/>
      <c r="EQ261" s="61"/>
      <c r="ER261" s="61"/>
      <c r="ES261" s="61"/>
      <c r="ET261" s="61"/>
      <c r="EU261" s="61"/>
      <c r="EV261" s="61"/>
      <c r="EW261" s="61"/>
      <c r="EX261" s="61"/>
      <c r="EY261" s="61"/>
      <c r="EZ261" s="61"/>
      <c r="FA261" s="61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1"/>
      <c r="GX261" s="61"/>
      <c r="GY261" s="61"/>
      <c r="GZ261" s="61"/>
      <c r="HA261" s="61"/>
      <c r="HB261" s="61"/>
      <c r="HC261" s="61"/>
      <c r="HD261" s="61"/>
      <c r="HE261" s="61"/>
      <c r="HF261" s="61"/>
      <c r="HG261" s="61"/>
      <c r="HH261" s="61"/>
      <c r="HI261" s="61"/>
      <c r="HJ261" s="61"/>
      <c r="HK261" s="61"/>
      <c r="HL261" s="61"/>
      <c r="HM261" s="61"/>
      <c r="HN261" s="61"/>
      <c r="HO261" s="61"/>
      <c r="HP261" s="61"/>
      <c r="HQ261" s="61"/>
      <c r="HR261" s="61"/>
      <c r="HS261" s="61"/>
      <c r="HT261" s="61"/>
      <c r="HU261" s="61"/>
      <c r="HV261" s="61"/>
      <c r="HW261" s="61"/>
      <c r="HX261" s="61"/>
      <c r="HY261" s="61"/>
      <c r="HZ261" s="61"/>
      <c r="IA261" s="61"/>
      <c r="IB261" s="61"/>
      <c r="IC261" s="61"/>
      <c r="ID261" s="61"/>
      <c r="IE261" s="61"/>
      <c r="IF261" s="61"/>
      <c r="IG261" s="61"/>
      <c r="IH261" s="61"/>
      <c r="II261" s="61"/>
      <c r="IJ261" s="61"/>
      <c r="IK261" s="61"/>
      <c r="IL261" s="61"/>
      <c r="IM261" s="61"/>
      <c r="IN261" s="61"/>
      <c r="IO261" s="61"/>
      <c r="IP261" s="61"/>
      <c r="IQ261" s="61"/>
      <c r="IR261" s="61"/>
      <c r="IS261" s="61"/>
      <c r="IT261" s="61"/>
      <c r="IU261" s="61"/>
      <c r="IV261" s="61"/>
    </row>
    <row r="262" spans="1:256" ht="12.75" x14ac:dyDescent="0.2">
      <c r="A262" s="81"/>
      <c r="B262" s="59">
        <v>169</v>
      </c>
      <c r="C262" s="59">
        <v>184911421</v>
      </c>
      <c r="D262" s="82" t="s">
        <v>166</v>
      </c>
      <c r="E262" s="59" t="s">
        <v>0</v>
      </c>
      <c r="F262" s="83">
        <v>208</v>
      </c>
      <c r="G262" s="83"/>
      <c r="H262" s="60">
        <f t="shared" si="11"/>
        <v>0</v>
      </c>
      <c r="I262" s="95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1"/>
      <c r="HJ262" s="61"/>
      <c r="HK262" s="61"/>
      <c r="HL262" s="61"/>
      <c r="HM262" s="61"/>
      <c r="HN262" s="61"/>
      <c r="HO262" s="61"/>
      <c r="HP262" s="61"/>
      <c r="HQ262" s="61"/>
      <c r="HR262" s="61"/>
      <c r="HS262" s="61"/>
      <c r="HT262" s="61"/>
      <c r="HU262" s="61"/>
      <c r="HV262" s="61"/>
      <c r="HW262" s="61"/>
      <c r="HX262" s="61"/>
      <c r="HY262" s="61"/>
      <c r="HZ262" s="61"/>
      <c r="IA262" s="61"/>
      <c r="IB262" s="61"/>
      <c r="IC262" s="61"/>
      <c r="ID262" s="61"/>
      <c r="IE262" s="61"/>
      <c r="IF262" s="61"/>
      <c r="IG262" s="61"/>
      <c r="IH262" s="61"/>
      <c r="II262" s="61"/>
      <c r="IJ262" s="61"/>
      <c r="IK262" s="61"/>
      <c r="IL262" s="61"/>
      <c r="IM262" s="61"/>
      <c r="IN262" s="61"/>
      <c r="IO262" s="61"/>
      <c r="IP262" s="61"/>
      <c r="IQ262" s="61"/>
      <c r="IR262" s="61"/>
      <c r="IS262" s="61"/>
      <c r="IT262" s="61"/>
      <c r="IU262" s="61"/>
      <c r="IV262" s="61"/>
    </row>
    <row r="263" spans="1:256" s="118" customFormat="1" ht="12.75" x14ac:dyDescent="0.2">
      <c r="A263" s="110"/>
      <c r="B263" s="99">
        <v>170</v>
      </c>
      <c r="C263" s="99">
        <v>184911423</v>
      </c>
      <c r="D263" s="111" t="s">
        <v>142</v>
      </c>
      <c r="E263" s="99" t="s">
        <v>0</v>
      </c>
      <c r="F263" s="112">
        <v>100</v>
      </c>
      <c r="G263" s="112"/>
      <c r="H263" s="113">
        <f t="shared" si="11"/>
        <v>0</v>
      </c>
      <c r="I263" s="117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  <c r="ES263" s="116"/>
      <c r="ET263" s="116"/>
      <c r="EU263" s="116"/>
      <c r="EV263" s="116"/>
      <c r="EW263" s="116"/>
      <c r="EX263" s="116"/>
      <c r="EY263" s="116"/>
      <c r="EZ263" s="116"/>
      <c r="FA263" s="116"/>
      <c r="FB263" s="116"/>
      <c r="FC263" s="116"/>
      <c r="FD263" s="116"/>
      <c r="FE263" s="116"/>
      <c r="FF263" s="116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6"/>
      <c r="FW263" s="116"/>
      <c r="FX263" s="116"/>
      <c r="FY263" s="116"/>
      <c r="FZ263" s="116"/>
      <c r="GA263" s="116"/>
      <c r="GB263" s="116"/>
      <c r="GC263" s="116"/>
      <c r="GD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ht="25.5" x14ac:dyDescent="0.2">
      <c r="A264" s="81"/>
      <c r="B264" s="59">
        <v>171</v>
      </c>
      <c r="C264" s="59">
        <v>998231311</v>
      </c>
      <c r="D264" s="82" t="s">
        <v>148</v>
      </c>
      <c r="E264" s="59" t="s">
        <v>2</v>
      </c>
      <c r="F264" s="83">
        <f>F266*0.3+F261</f>
        <v>9.2461599999999997</v>
      </c>
      <c r="G264" s="83"/>
      <c r="H264" s="60">
        <f t="shared" si="11"/>
        <v>0</v>
      </c>
      <c r="I264" s="95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  <c r="EO264" s="61"/>
      <c r="EP264" s="61"/>
      <c r="EQ264" s="61"/>
      <c r="ER264" s="61"/>
      <c r="ES264" s="61"/>
      <c r="ET264" s="61"/>
      <c r="EU264" s="61"/>
      <c r="EV264" s="61"/>
      <c r="EW264" s="61"/>
      <c r="EX264" s="61"/>
      <c r="EY264" s="61"/>
      <c r="EZ264" s="61"/>
      <c r="FA264" s="61"/>
      <c r="FB264" s="61"/>
      <c r="FC264" s="61"/>
      <c r="FD264" s="61"/>
      <c r="FE264" s="61"/>
      <c r="FF264" s="61"/>
      <c r="FG264" s="61"/>
      <c r="FH264" s="61"/>
      <c r="FI264" s="61"/>
      <c r="FJ264" s="61"/>
      <c r="FK264" s="61"/>
      <c r="FL264" s="61"/>
      <c r="FM264" s="61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  <c r="GF264" s="61"/>
      <c r="GG264" s="61"/>
      <c r="GH264" s="61"/>
      <c r="GI264" s="61"/>
      <c r="GJ264" s="61"/>
      <c r="GK264" s="61"/>
      <c r="GL264" s="61"/>
      <c r="GM264" s="61"/>
      <c r="GN264" s="61"/>
      <c r="GO264" s="61"/>
      <c r="GP264" s="61"/>
      <c r="GQ264" s="61"/>
      <c r="GR264" s="61"/>
      <c r="GS264" s="61"/>
      <c r="GT264" s="61"/>
      <c r="GU264" s="61"/>
      <c r="GV264" s="61"/>
      <c r="GW264" s="61"/>
      <c r="GX264" s="61"/>
      <c r="GY264" s="61"/>
      <c r="GZ264" s="61"/>
      <c r="HA264" s="61"/>
      <c r="HB264" s="61"/>
      <c r="HC264" s="61"/>
      <c r="HD264" s="61"/>
      <c r="HE264" s="61"/>
      <c r="HF264" s="61"/>
      <c r="HG264" s="61"/>
      <c r="HH264" s="61"/>
      <c r="HI264" s="61"/>
      <c r="HJ264" s="61"/>
      <c r="HK264" s="61"/>
      <c r="HL264" s="61"/>
      <c r="HM264" s="61"/>
      <c r="HN264" s="61"/>
      <c r="HO264" s="61"/>
      <c r="HP264" s="61"/>
      <c r="HQ264" s="61"/>
      <c r="HR264" s="61"/>
      <c r="HS264" s="61"/>
      <c r="HT264" s="61"/>
      <c r="HU264" s="61"/>
      <c r="HV264" s="61"/>
      <c r="HW264" s="61"/>
      <c r="HX264" s="61"/>
      <c r="HY264" s="61"/>
      <c r="HZ264" s="61"/>
      <c r="IA264" s="61"/>
      <c r="IB264" s="61"/>
      <c r="IC264" s="61"/>
      <c r="ID264" s="61"/>
      <c r="IE264" s="61"/>
      <c r="IF264" s="61"/>
      <c r="IG264" s="61"/>
      <c r="IH264" s="61"/>
      <c r="II264" s="61"/>
      <c r="IJ264" s="61"/>
      <c r="IK264" s="61"/>
      <c r="IL264" s="61"/>
      <c r="IM264" s="61"/>
      <c r="IN264" s="61"/>
      <c r="IO264" s="61"/>
      <c r="IP264" s="61"/>
      <c r="IQ264" s="61"/>
      <c r="IR264" s="61"/>
      <c r="IS264" s="61"/>
      <c r="IT264" s="61"/>
      <c r="IU264" s="61"/>
      <c r="IV264" s="61"/>
    </row>
    <row r="265" spans="1:256" ht="12.75" x14ac:dyDescent="0.2">
      <c r="A265" s="81"/>
      <c r="B265" s="59">
        <v>172</v>
      </c>
      <c r="C265" s="59" t="s">
        <v>3</v>
      </c>
      <c r="D265" s="82" t="s">
        <v>31</v>
      </c>
      <c r="E265" s="59" t="s">
        <v>14</v>
      </c>
      <c r="F265" s="83">
        <f>F261*1000</f>
        <v>6.16</v>
      </c>
      <c r="G265" s="83"/>
      <c r="H265" s="60">
        <f t="shared" si="11"/>
        <v>0</v>
      </c>
      <c r="I265" s="95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  <c r="EO265" s="61"/>
      <c r="EP265" s="61"/>
      <c r="EQ265" s="61"/>
      <c r="ER265" s="61"/>
      <c r="ES265" s="61"/>
      <c r="ET265" s="61"/>
      <c r="EU265" s="61"/>
      <c r="EV265" s="61"/>
      <c r="EW265" s="61"/>
      <c r="EX265" s="61"/>
      <c r="EY265" s="61"/>
      <c r="EZ265" s="61"/>
      <c r="FA265" s="61"/>
      <c r="FB265" s="61"/>
      <c r="FC265" s="61"/>
      <c r="FD265" s="61"/>
      <c r="FE265" s="61"/>
      <c r="FF265" s="61"/>
      <c r="FG265" s="61"/>
      <c r="FH265" s="61"/>
      <c r="FI265" s="61"/>
      <c r="FJ265" s="61"/>
      <c r="FK265" s="61"/>
      <c r="FL265" s="61"/>
      <c r="FM265" s="61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  <c r="GF265" s="61"/>
      <c r="GG265" s="61"/>
      <c r="GH265" s="61"/>
      <c r="GI265" s="61"/>
      <c r="GJ265" s="61"/>
      <c r="GK265" s="61"/>
      <c r="GL265" s="61"/>
      <c r="GM265" s="61"/>
      <c r="GN265" s="61"/>
      <c r="GO265" s="61"/>
      <c r="GP265" s="61"/>
      <c r="GQ265" s="61"/>
      <c r="GR265" s="61"/>
      <c r="GS265" s="61"/>
      <c r="GT265" s="61"/>
      <c r="GU265" s="61"/>
      <c r="GV265" s="61"/>
      <c r="GW265" s="61"/>
      <c r="GX265" s="61"/>
      <c r="GY265" s="61"/>
      <c r="GZ265" s="61"/>
      <c r="HA265" s="61"/>
      <c r="HB265" s="61"/>
      <c r="HC265" s="61"/>
      <c r="HD265" s="61"/>
      <c r="HE265" s="61"/>
      <c r="HF265" s="61"/>
      <c r="HG265" s="61"/>
      <c r="HH265" s="61"/>
      <c r="HI265" s="61"/>
      <c r="HJ265" s="61"/>
      <c r="HK265" s="61"/>
      <c r="HL265" s="61"/>
      <c r="HM265" s="61"/>
      <c r="HN265" s="61"/>
      <c r="HO265" s="61"/>
      <c r="HP265" s="61"/>
      <c r="HQ265" s="61"/>
      <c r="HR265" s="61"/>
      <c r="HS265" s="61"/>
      <c r="HT265" s="61"/>
      <c r="HU265" s="61"/>
      <c r="HV265" s="61"/>
      <c r="HW265" s="61"/>
      <c r="HX265" s="61"/>
      <c r="HY265" s="61"/>
      <c r="HZ265" s="61"/>
      <c r="IA265" s="61"/>
      <c r="IB265" s="61"/>
      <c r="IC265" s="61"/>
      <c r="ID265" s="61"/>
      <c r="IE265" s="61"/>
      <c r="IF265" s="61"/>
      <c r="IG265" s="61"/>
      <c r="IH265" s="61"/>
      <c r="II265" s="61"/>
      <c r="IJ265" s="61"/>
      <c r="IK265" s="61"/>
      <c r="IL265" s="61"/>
      <c r="IM265" s="61"/>
      <c r="IN265" s="61"/>
      <c r="IO265" s="61"/>
      <c r="IP265" s="61"/>
      <c r="IQ265" s="61"/>
      <c r="IR265" s="61"/>
      <c r="IS265" s="61"/>
      <c r="IT265" s="61"/>
      <c r="IU265" s="61"/>
      <c r="IV265" s="61"/>
    </row>
    <row r="266" spans="1:256" ht="12.75" x14ac:dyDescent="0.2">
      <c r="A266" s="81"/>
      <c r="B266" s="59">
        <v>173</v>
      </c>
      <c r="C266" s="59" t="s">
        <v>3</v>
      </c>
      <c r="D266" s="82" t="s">
        <v>164</v>
      </c>
      <c r="E266" s="59" t="s">
        <v>9</v>
      </c>
      <c r="F266" s="83">
        <f>(F262+F263)*0.1</f>
        <v>30.8</v>
      </c>
      <c r="G266" s="83"/>
      <c r="H266" s="60">
        <f t="shared" si="11"/>
        <v>0</v>
      </c>
      <c r="I266" s="95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  <c r="EO266" s="61"/>
      <c r="EP266" s="61"/>
      <c r="EQ266" s="61"/>
      <c r="ER266" s="61"/>
      <c r="ES266" s="61"/>
      <c r="ET266" s="61"/>
      <c r="EU266" s="61"/>
      <c r="EV266" s="61"/>
      <c r="EW266" s="61"/>
      <c r="EX266" s="61"/>
      <c r="EY266" s="61"/>
      <c r="EZ266" s="61"/>
      <c r="FA266" s="61"/>
      <c r="FB266" s="61"/>
      <c r="FC266" s="61"/>
      <c r="FD266" s="61"/>
      <c r="FE266" s="61"/>
      <c r="FF266" s="61"/>
      <c r="FG266" s="61"/>
      <c r="FH266" s="61"/>
      <c r="FI266" s="61"/>
      <c r="FJ266" s="61"/>
      <c r="FK266" s="61"/>
      <c r="FL266" s="61"/>
      <c r="FM266" s="61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  <c r="GF266" s="61"/>
      <c r="GG266" s="61"/>
      <c r="GH266" s="61"/>
      <c r="GI266" s="61"/>
      <c r="GJ266" s="61"/>
      <c r="GK266" s="61"/>
      <c r="GL266" s="61"/>
      <c r="GM266" s="61"/>
      <c r="GN266" s="61"/>
      <c r="GO266" s="61"/>
      <c r="GP266" s="61"/>
      <c r="GQ266" s="61"/>
      <c r="GR266" s="61"/>
      <c r="GS266" s="61"/>
      <c r="GT266" s="61"/>
      <c r="GU266" s="61"/>
      <c r="GV266" s="61"/>
      <c r="GW266" s="61"/>
      <c r="GX266" s="61"/>
      <c r="GY266" s="61"/>
      <c r="GZ266" s="61"/>
      <c r="HA266" s="61"/>
      <c r="HB266" s="61"/>
      <c r="HC266" s="61"/>
      <c r="HD266" s="61"/>
      <c r="HE266" s="61"/>
      <c r="HF266" s="61"/>
      <c r="HG266" s="61"/>
      <c r="HH266" s="61"/>
      <c r="HI266" s="61"/>
      <c r="HJ266" s="61"/>
      <c r="HK266" s="61"/>
      <c r="HL266" s="61"/>
      <c r="HM266" s="61"/>
      <c r="HN266" s="61"/>
      <c r="HO266" s="61"/>
      <c r="HP266" s="61"/>
      <c r="HQ266" s="61"/>
      <c r="HR266" s="61"/>
      <c r="HS266" s="61"/>
      <c r="HT266" s="61"/>
      <c r="HU266" s="61"/>
      <c r="HV266" s="61"/>
      <c r="HW266" s="61"/>
      <c r="HX266" s="61"/>
      <c r="HY266" s="61"/>
      <c r="HZ266" s="61"/>
      <c r="IA266" s="61"/>
      <c r="IB266" s="61"/>
      <c r="IC266" s="61"/>
      <c r="ID266" s="61"/>
      <c r="IE266" s="61"/>
      <c r="IF266" s="61"/>
      <c r="IG266" s="61"/>
      <c r="IH266" s="61"/>
      <c r="II266" s="61"/>
      <c r="IJ266" s="61"/>
      <c r="IK266" s="61"/>
      <c r="IL266" s="61"/>
      <c r="IM266" s="61"/>
      <c r="IN266" s="61"/>
      <c r="IO266" s="61"/>
      <c r="IP266" s="61"/>
      <c r="IQ266" s="61"/>
      <c r="IR266" s="61"/>
      <c r="IS266" s="61"/>
      <c r="IT266" s="61"/>
      <c r="IU266" s="61"/>
      <c r="IV266" s="61"/>
    </row>
    <row r="267" spans="1:256" ht="12.75" x14ac:dyDescent="0.2">
      <c r="A267" s="52"/>
      <c r="B267" s="59"/>
      <c r="C267" s="87" t="s">
        <v>158</v>
      </c>
      <c r="D267" s="87"/>
      <c r="E267" s="86"/>
      <c r="F267" s="88"/>
      <c r="G267" s="88"/>
      <c r="H267" s="89"/>
      <c r="I267" s="90"/>
      <c r="J267" s="52"/>
      <c r="K267" s="58"/>
      <c r="L267" s="52"/>
      <c r="M267" s="53"/>
      <c r="N267" s="52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  <c r="IR267" s="53"/>
      <c r="IS267" s="53"/>
      <c r="IT267" s="53"/>
      <c r="IU267" s="53"/>
      <c r="IV267" s="53"/>
    </row>
    <row r="268" spans="1:256" ht="37.5" customHeight="1" x14ac:dyDescent="0.2">
      <c r="A268" s="81"/>
      <c r="B268" s="59">
        <v>174</v>
      </c>
      <c r="C268" s="59">
        <v>185804251</v>
      </c>
      <c r="D268" s="82" t="s">
        <v>157</v>
      </c>
      <c r="E268" s="59" t="s">
        <v>0</v>
      </c>
      <c r="F268" s="83">
        <f>+(13+13+13+13)</f>
        <v>52</v>
      </c>
      <c r="G268" s="83"/>
      <c r="H268" s="60">
        <f>G268*F268</f>
        <v>0</v>
      </c>
      <c r="I268" s="95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</row>
    <row r="269" spans="1:256" ht="12.75" x14ac:dyDescent="0.2">
      <c r="A269" s="52"/>
      <c r="B269" s="86"/>
      <c r="C269" s="54" t="s">
        <v>180</v>
      </c>
      <c r="D269" s="87"/>
      <c r="E269" s="86"/>
      <c r="F269" s="88"/>
      <c r="G269" s="88"/>
      <c r="H269" s="89"/>
      <c r="I269" s="90"/>
      <c r="J269" s="52"/>
      <c r="K269" s="58"/>
      <c r="L269" s="52"/>
      <c r="M269" s="53"/>
      <c r="N269" s="52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  <c r="IR269" s="53"/>
      <c r="IS269" s="53"/>
      <c r="IT269" s="53"/>
      <c r="IU269" s="53"/>
      <c r="IV269" s="53"/>
    </row>
    <row r="270" spans="1:256" ht="25.5" x14ac:dyDescent="0.2">
      <c r="A270" s="81"/>
      <c r="B270" s="59">
        <v>175</v>
      </c>
      <c r="C270" s="59">
        <v>111151131</v>
      </c>
      <c r="D270" s="82" t="s">
        <v>182</v>
      </c>
      <c r="E270" s="59" t="s">
        <v>0</v>
      </c>
      <c r="F270" s="83">
        <f>383*2</f>
        <v>766</v>
      </c>
      <c r="G270" s="83"/>
      <c r="H270" s="60">
        <f>G270*F270</f>
        <v>0</v>
      </c>
      <c r="I270" s="95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</row>
    <row r="271" spans="1:256" ht="12.75" x14ac:dyDescent="0.2">
      <c r="A271" s="52"/>
      <c r="B271" s="52"/>
      <c r="C271" s="54"/>
      <c r="D271" s="54" t="s">
        <v>32</v>
      </c>
      <c r="E271" s="52"/>
      <c r="F271" s="55"/>
      <c r="G271" s="55"/>
      <c r="H271" s="56">
        <f>SUM(H240:H270)</f>
        <v>0</v>
      </c>
      <c r="I271" s="90"/>
      <c r="J271" s="52"/>
      <c r="K271" s="58"/>
      <c r="L271" s="52"/>
      <c r="M271" s="53"/>
      <c r="N271" s="52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  <c r="IR271" s="53"/>
      <c r="IS271" s="53"/>
      <c r="IT271" s="53"/>
      <c r="IU271" s="53"/>
      <c r="IV271" s="53"/>
    </row>
    <row r="272" spans="1:256" ht="12.75" x14ac:dyDescent="0.2">
      <c r="A272" s="52"/>
      <c r="B272" s="52"/>
      <c r="C272" s="54"/>
      <c r="D272" s="54"/>
      <c r="E272" s="52"/>
      <c r="F272" s="55"/>
      <c r="G272" s="55"/>
      <c r="H272" s="56"/>
      <c r="I272" s="57"/>
      <c r="J272" s="52"/>
      <c r="K272" s="58"/>
      <c r="L272" s="52"/>
      <c r="M272" s="53"/>
      <c r="N272" s="52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3"/>
      <c r="IS272" s="53"/>
      <c r="IT272" s="53"/>
      <c r="IU272" s="53"/>
      <c r="IV272" s="53"/>
    </row>
    <row r="273" spans="1:256" ht="12.75" x14ac:dyDescent="0.2">
      <c r="A273" s="52"/>
      <c r="B273" s="52"/>
      <c r="C273" s="54"/>
      <c r="D273" s="54"/>
      <c r="E273" s="52"/>
      <c r="F273" s="55"/>
      <c r="G273" s="55"/>
      <c r="H273" s="56"/>
      <c r="I273" s="57"/>
      <c r="J273" s="52"/>
      <c r="K273" s="58"/>
      <c r="L273" s="52"/>
      <c r="M273" s="53"/>
      <c r="N273" s="52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  <c r="IR273" s="53"/>
      <c r="IS273" s="53"/>
      <c r="IT273" s="53"/>
      <c r="IU273" s="53"/>
      <c r="IV273" s="53"/>
    </row>
    <row r="274" spans="1:256" ht="12.75" x14ac:dyDescent="0.2">
      <c r="A274" s="52"/>
      <c r="B274" s="52">
        <v>8</v>
      </c>
      <c r="C274" s="54"/>
      <c r="D274" s="54"/>
      <c r="E274" s="52"/>
      <c r="F274" s="55"/>
      <c r="G274" s="55"/>
      <c r="H274" s="56"/>
      <c r="I274" s="57"/>
      <c r="J274" s="52"/>
      <c r="K274" s="58"/>
      <c r="L274" s="52"/>
      <c r="M274" s="53"/>
      <c r="N274" s="52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  <c r="FA274" s="53"/>
      <c r="FB274" s="53"/>
      <c r="FC274" s="53"/>
      <c r="FD274" s="53"/>
      <c r="FE274" s="53"/>
      <c r="FF274" s="53"/>
      <c r="FG274" s="53"/>
      <c r="FH274" s="53"/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/>
      <c r="FV274" s="53"/>
      <c r="FW274" s="53"/>
      <c r="FX274" s="53"/>
      <c r="FY274" s="53"/>
      <c r="FZ274" s="53"/>
      <c r="GA274" s="53"/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3"/>
      <c r="GO274" s="53"/>
      <c r="GP274" s="53"/>
      <c r="GQ274" s="53"/>
      <c r="GR274" s="53"/>
      <c r="GS274" s="53"/>
      <c r="GT274" s="53"/>
      <c r="GU274" s="53"/>
      <c r="GV274" s="53"/>
      <c r="GW274" s="53"/>
      <c r="GX274" s="53"/>
      <c r="GY274" s="53"/>
      <c r="GZ274" s="53"/>
      <c r="HA274" s="53"/>
      <c r="HB274" s="53"/>
      <c r="HC274" s="53"/>
      <c r="HD274" s="53"/>
      <c r="HE274" s="53"/>
      <c r="HF274" s="53"/>
      <c r="HG274" s="53"/>
      <c r="HH274" s="53"/>
      <c r="HI274" s="53"/>
      <c r="HJ274" s="53"/>
      <c r="HK274" s="53"/>
      <c r="HL274" s="53"/>
      <c r="HM274" s="53"/>
      <c r="HN274" s="53"/>
      <c r="HO274" s="53"/>
      <c r="HP274" s="53"/>
      <c r="HQ274" s="53"/>
      <c r="HR274" s="53"/>
      <c r="HS274" s="53"/>
      <c r="HT274" s="53"/>
      <c r="HU274" s="53"/>
      <c r="HV274" s="53"/>
      <c r="HW274" s="53"/>
      <c r="HX274" s="53"/>
      <c r="HY274" s="53"/>
      <c r="HZ274" s="53"/>
      <c r="IA274" s="53"/>
      <c r="IB274" s="53"/>
      <c r="IC274" s="53"/>
      <c r="ID274" s="53"/>
      <c r="IE274" s="53"/>
      <c r="IF274" s="53"/>
      <c r="IG274" s="53"/>
      <c r="IH274" s="53"/>
      <c r="II274" s="53"/>
      <c r="IJ274" s="53"/>
      <c r="IK274" s="53"/>
      <c r="IL274" s="53"/>
      <c r="IM274" s="53"/>
      <c r="IN274" s="53"/>
      <c r="IO274" s="53"/>
      <c r="IP274" s="53"/>
      <c r="IQ274" s="53"/>
      <c r="IR274" s="53"/>
      <c r="IS274" s="53"/>
      <c r="IT274" s="53"/>
      <c r="IU274" s="53"/>
      <c r="IV274" s="53"/>
    </row>
    <row r="275" spans="1:256" ht="12.75" x14ac:dyDescent="0.2">
      <c r="A275" s="52"/>
      <c r="B275" s="52" t="s">
        <v>10</v>
      </c>
      <c r="C275" s="54" t="s">
        <v>33</v>
      </c>
      <c r="D275" s="54"/>
      <c r="E275" s="52" t="s">
        <v>4</v>
      </c>
      <c r="F275" s="55" t="s">
        <v>5</v>
      </c>
      <c r="G275" s="55" t="s">
        <v>11</v>
      </c>
      <c r="H275" s="56" t="s">
        <v>8</v>
      </c>
      <c r="I275" s="57"/>
      <c r="J275" s="52"/>
      <c r="K275" s="58"/>
      <c r="L275" s="52"/>
      <c r="M275" s="53"/>
      <c r="N275" s="52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  <c r="IR275" s="53"/>
      <c r="IS275" s="53"/>
      <c r="IT275" s="53"/>
      <c r="IU275" s="53"/>
      <c r="IV275" s="53"/>
    </row>
    <row r="276" spans="1:256" ht="12.75" x14ac:dyDescent="0.2">
      <c r="A276" s="52"/>
      <c r="B276" s="52"/>
      <c r="C276" s="54" t="s">
        <v>28</v>
      </c>
      <c r="D276" s="54"/>
      <c r="E276" s="52"/>
      <c r="F276" s="55"/>
      <c r="G276" s="55"/>
      <c r="H276" s="56"/>
      <c r="I276" s="57"/>
      <c r="J276" s="52"/>
      <c r="K276" s="58"/>
      <c r="L276" s="52"/>
      <c r="M276" s="53"/>
      <c r="N276" s="52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  <c r="IR276" s="53"/>
      <c r="IS276" s="53"/>
      <c r="IT276" s="53"/>
      <c r="IU276" s="53"/>
      <c r="IV276" s="53"/>
    </row>
    <row r="277" spans="1:256" ht="25.5" x14ac:dyDescent="0.2">
      <c r="A277" s="81"/>
      <c r="B277" s="59">
        <v>176</v>
      </c>
      <c r="C277" s="59">
        <v>185804213</v>
      </c>
      <c r="D277" s="82" t="s">
        <v>150</v>
      </c>
      <c r="E277" s="59" t="s">
        <v>0</v>
      </c>
      <c r="F277" s="83">
        <f>+ (3*55*3.15*0.5*0.5)</f>
        <v>129.9375</v>
      </c>
      <c r="G277" s="83"/>
      <c r="H277" s="60">
        <f t="shared" ref="H277:H286" si="12">G277*F277</f>
        <v>0</v>
      </c>
      <c r="I277" s="93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</row>
    <row r="278" spans="1:256" s="118" customFormat="1" ht="25.5" x14ac:dyDescent="0.2">
      <c r="A278" s="110"/>
      <c r="B278" s="99">
        <v>177</v>
      </c>
      <c r="C278" s="99">
        <v>185804241</v>
      </c>
      <c r="D278" s="111" t="s">
        <v>149</v>
      </c>
      <c r="E278" s="99" t="s">
        <v>0</v>
      </c>
      <c r="F278" s="112">
        <f>+(3*5*3.15*0.5*0.5)</f>
        <v>11.8125</v>
      </c>
      <c r="G278" s="112"/>
      <c r="H278" s="113">
        <f t="shared" si="12"/>
        <v>0</v>
      </c>
      <c r="I278" s="117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  <c r="EB278" s="116"/>
      <c r="EC278" s="116"/>
      <c r="ED278" s="116"/>
      <c r="EE278" s="116"/>
      <c r="EF278" s="116"/>
      <c r="EG278" s="116"/>
      <c r="EH278" s="116"/>
      <c r="EI278" s="116"/>
      <c r="EJ278" s="116"/>
      <c r="EK278" s="116"/>
      <c r="EL278" s="116"/>
      <c r="EM278" s="116"/>
      <c r="EN278" s="116"/>
      <c r="EO278" s="116"/>
      <c r="EP278" s="116"/>
      <c r="EQ278" s="116"/>
      <c r="ER278" s="116"/>
      <c r="ES278" s="116"/>
      <c r="ET278" s="116"/>
      <c r="EU278" s="116"/>
      <c r="EV278" s="116"/>
      <c r="EW278" s="116"/>
      <c r="EX278" s="116"/>
      <c r="EY278" s="116"/>
      <c r="EZ278" s="116"/>
      <c r="FA278" s="116"/>
      <c r="FB278" s="116"/>
      <c r="FC278" s="116"/>
      <c r="FD278" s="116"/>
      <c r="FE278" s="116"/>
      <c r="FF278" s="116"/>
      <c r="FG278" s="116"/>
      <c r="FH278" s="116"/>
      <c r="FI278" s="116"/>
      <c r="FJ278" s="116"/>
      <c r="FK278" s="116"/>
      <c r="FL278" s="116"/>
      <c r="FM278" s="116"/>
      <c r="FN278" s="116"/>
      <c r="FO278" s="116"/>
      <c r="FP278" s="116"/>
      <c r="FQ278" s="116"/>
      <c r="FR278" s="116"/>
      <c r="FS278" s="116"/>
      <c r="FT278" s="116"/>
      <c r="FU278" s="116"/>
      <c r="FV278" s="116"/>
      <c r="FW278" s="116"/>
      <c r="FX278" s="116"/>
      <c r="FY278" s="116"/>
      <c r="FZ278" s="116"/>
      <c r="GA278" s="116"/>
      <c r="GB278" s="116"/>
      <c r="GC278" s="116"/>
      <c r="GD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ht="12.75" x14ac:dyDescent="0.2">
      <c r="A279" s="81"/>
      <c r="B279" s="59">
        <v>178</v>
      </c>
      <c r="C279" s="59">
        <v>185804312</v>
      </c>
      <c r="D279" s="82" t="s">
        <v>151</v>
      </c>
      <c r="E279" s="59" t="s">
        <v>9</v>
      </c>
      <c r="F279" s="83">
        <f>60*10*100/1000</f>
        <v>60</v>
      </c>
      <c r="G279" s="83"/>
      <c r="H279" s="60">
        <f t="shared" si="12"/>
        <v>0</v>
      </c>
      <c r="I279" s="93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</row>
    <row r="280" spans="1:256" ht="12.75" x14ac:dyDescent="0.2">
      <c r="A280" s="81"/>
      <c r="B280" s="59">
        <v>179</v>
      </c>
      <c r="C280" s="59">
        <v>185851121</v>
      </c>
      <c r="D280" s="82" t="s">
        <v>152</v>
      </c>
      <c r="E280" s="59" t="s">
        <v>9</v>
      </c>
      <c r="F280" s="83">
        <f>+F279</f>
        <v>60</v>
      </c>
      <c r="G280" s="83"/>
      <c r="H280" s="60">
        <f t="shared" si="12"/>
        <v>0</v>
      </c>
      <c r="I280" s="93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</row>
    <row r="281" spans="1:256" ht="12.75" x14ac:dyDescent="0.2">
      <c r="A281" s="81"/>
      <c r="B281" s="59">
        <v>180</v>
      </c>
      <c r="C281" s="59">
        <v>185851129</v>
      </c>
      <c r="D281" s="82" t="s">
        <v>27</v>
      </c>
      <c r="E281" s="59" t="s">
        <v>9</v>
      </c>
      <c r="F281" s="83">
        <f>+F280</f>
        <v>60</v>
      </c>
      <c r="G281" s="83"/>
      <c r="H281" s="60">
        <f t="shared" si="12"/>
        <v>0</v>
      </c>
      <c r="I281" s="93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</row>
    <row r="282" spans="1:256" ht="25.5" x14ac:dyDescent="0.2">
      <c r="A282" s="81"/>
      <c r="B282" s="59">
        <v>181</v>
      </c>
      <c r="C282" s="59">
        <v>184911111</v>
      </c>
      <c r="D282" s="82" t="s">
        <v>153</v>
      </c>
      <c r="E282" s="59" t="s">
        <v>1</v>
      </c>
      <c r="F282" s="83">
        <f>+(60*3*0.1)</f>
        <v>18</v>
      </c>
      <c r="G282" s="83"/>
      <c r="H282" s="60">
        <f t="shared" si="12"/>
        <v>0</v>
      </c>
      <c r="I282" s="93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</row>
    <row r="283" spans="1:256" ht="25.5" x14ac:dyDescent="0.2">
      <c r="A283" s="81"/>
      <c r="B283" s="59">
        <v>182</v>
      </c>
      <c r="C283" s="59">
        <v>184215173</v>
      </c>
      <c r="D283" s="82" t="s">
        <v>167</v>
      </c>
      <c r="E283" s="59" t="s">
        <v>1</v>
      </c>
      <c r="F283" s="83">
        <v>60</v>
      </c>
      <c r="G283" s="83"/>
      <c r="H283" s="60">
        <f t="shared" si="12"/>
        <v>0</v>
      </c>
      <c r="I283" s="93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</row>
    <row r="284" spans="1:256" ht="25.5" x14ac:dyDescent="0.2">
      <c r="A284" s="81"/>
      <c r="B284" s="59">
        <v>183</v>
      </c>
      <c r="C284" s="59">
        <v>185802114</v>
      </c>
      <c r="D284" s="82" t="s">
        <v>160</v>
      </c>
      <c r="E284" s="59" t="s">
        <v>2</v>
      </c>
      <c r="F284" s="91">
        <f>+(60*100)*0.001*0.001</f>
        <v>6.0000000000000001E-3</v>
      </c>
      <c r="G284" s="83"/>
      <c r="H284" s="60">
        <f t="shared" si="12"/>
        <v>0</v>
      </c>
      <c r="I284" s="93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</row>
    <row r="285" spans="1:256" ht="25.5" x14ac:dyDescent="0.2">
      <c r="A285" s="81"/>
      <c r="B285" s="59">
        <v>184</v>
      </c>
      <c r="C285" s="59">
        <v>998231311</v>
      </c>
      <c r="D285" s="82" t="s">
        <v>148</v>
      </c>
      <c r="E285" s="59" t="s">
        <v>2</v>
      </c>
      <c r="F285" s="83">
        <f>+F283*0.003+F284</f>
        <v>0.186</v>
      </c>
      <c r="G285" s="83"/>
      <c r="H285" s="60">
        <f t="shared" si="12"/>
        <v>0</v>
      </c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</row>
    <row r="286" spans="1:256" ht="12.75" x14ac:dyDescent="0.2">
      <c r="A286" s="81"/>
      <c r="B286" s="59">
        <v>185</v>
      </c>
      <c r="C286" s="59" t="s">
        <v>3</v>
      </c>
      <c r="D286" s="82" t="s">
        <v>31</v>
      </c>
      <c r="E286" s="59" t="s">
        <v>14</v>
      </c>
      <c r="F286" s="83">
        <f>F284*1000</f>
        <v>6</v>
      </c>
      <c r="G286" s="83"/>
      <c r="H286" s="60">
        <f t="shared" si="12"/>
        <v>0</v>
      </c>
      <c r="I286" s="93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</row>
    <row r="287" spans="1:256" ht="12.75" x14ac:dyDescent="0.2">
      <c r="A287" s="52"/>
      <c r="B287" s="86"/>
      <c r="C287" s="87" t="s">
        <v>29</v>
      </c>
      <c r="D287" s="87"/>
      <c r="E287" s="86"/>
      <c r="F287" s="88"/>
      <c r="G287" s="88"/>
      <c r="H287" s="89"/>
      <c r="I287" s="57"/>
      <c r="J287" s="52"/>
      <c r="K287" s="58"/>
      <c r="L287" s="52"/>
      <c r="M287" s="53"/>
      <c r="N287" s="52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  <c r="IR287" s="53"/>
      <c r="IS287" s="53"/>
      <c r="IT287" s="53"/>
      <c r="IU287" s="53"/>
      <c r="IV287" s="53"/>
    </row>
    <row r="288" spans="1:256" ht="25.5" x14ac:dyDescent="0.2">
      <c r="A288" s="81"/>
      <c r="B288" s="59">
        <v>186</v>
      </c>
      <c r="C288" s="59">
        <v>185804214</v>
      </c>
      <c r="D288" s="82" t="s">
        <v>154</v>
      </c>
      <c r="E288" s="59" t="s">
        <v>0</v>
      </c>
      <c r="F288" s="83">
        <f>+ (208*3)</f>
        <v>624</v>
      </c>
      <c r="G288" s="83"/>
      <c r="H288" s="60">
        <f t="shared" ref="H288:H294" si="13">G288*F288</f>
        <v>0</v>
      </c>
      <c r="I288" s="93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</row>
    <row r="289" spans="1:256" s="118" customFormat="1" ht="25.5" x14ac:dyDescent="0.2">
      <c r="A289" s="110"/>
      <c r="B289" s="99">
        <v>187</v>
      </c>
      <c r="C289" s="99">
        <v>185804242</v>
      </c>
      <c r="D289" s="111" t="s">
        <v>155</v>
      </c>
      <c r="E289" s="99" t="s">
        <v>0</v>
      </c>
      <c r="F289" s="112">
        <f>+ (100*3)</f>
        <v>300</v>
      </c>
      <c r="G289" s="112"/>
      <c r="H289" s="113">
        <f t="shared" si="13"/>
        <v>0</v>
      </c>
      <c r="I289" s="117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  <c r="EB289" s="116"/>
      <c r="EC289" s="116"/>
      <c r="ED289" s="116"/>
      <c r="EE289" s="116"/>
      <c r="EF289" s="116"/>
      <c r="EG289" s="116"/>
      <c r="EH289" s="116"/>
      <c r="EI289" s="116"/>
      <c r="EJ289" s="116"/>
      <c r="EK289" s="116"/>
      <c r="EL289" s="116"/>
      <c r="EM289" s="116"/>
      <c r="EN289" s="116"/>
      <c r="EO289" s="116"/>
      <c r="EP289" s="116"/>
      <c r="EQ289" s="116"/>
      <c r="ER289" s="116"/>
      <c r="ES289" s="116"/>
      <c r="ET289" s="116"/>
      <c r="EU289" s="116"/>
      <c r="EV289" s="116"/>
      <c r="EW289" s="116"/>
      <c r="EX289" s="116"/>
      <c r="EY289" s="116"/>
      <c r="EZ289" s="116"/>
      <c r="FA289" s="116"/>
      <c r="FB289" s="116"/>
      <c r="FC289" s="116"/>
      <c r="FD289" s="116"/>
      <c r="FE289" s="116"/>
      <c r="FF289" s="116"/>
      <c r="FG289" s="116"/>
      <c r="FH289" s="116"/>
      <c r="FI289" s="116"/>
      <c r="FJ289" s="116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6"/>
      <c r="GC289" s="116"/>
      <c r="GD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ht="25.5" x14ac:dyDescent="0.2">
      <c r="A290" s="81"/>
      <c r="B290" s="59">
        <v>188</v>
      </c>
      <c r="C290" s="59">
        <v>185804312</v>
      </c>
      <c r="D290" s="82" t="s">
        <v>156</v>
      </c>
      <c r="E290" s="59" t="s">
        <v>9</v>
      </c>
      <c r="F290" s="83">
        <f>(208+100)*10*20/1000</f>
        <v>61.6</v>
      </c>
      <c r="G290" s="83"/>
      <c r="H290" s="60">
        <f t="shared" si="13"/>
        <v>0</v>
      </c>
      <c r="I290" s="93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</row>
    <row r="291" spans="1:256" ht="12.75" x14ac:dyDescent="0.2">
      <c r="A291" s="81"/>
      <c r="B291" s="59">
        <v>189</v>
      </c>
      <c r="C291" s="59">
        <v>185851121</v>
      </c>
      <c r="D291" s="82" t="s">
        <v>152</v>
      </c>
      <c r="E291" s="59" t="s">
        <v>9</v>
      </c>
      <c r="F291" s="83">
        <f>+F290</f>
        <v>61.6</v>
      </c>
      <c r="G291" s="83"/>
      <c r="H291" s="60">
        <f t="shared" si="13"/>
        <v>0</v>
      </c>
      <c r="I291" s="95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</row>
    <row r="292" spans="1:256" ht="12.75" x14ac:dyDescent="0.2">
      <c r="A292" s="81"/>
      <c r="B292" s="59">
        <v>190</v>
      </c>
      <c r="C292" s="59">
        <v>185851129</v>
      </c>
      <c r="D292" s="82" t="s">
        <v>27</v>
      </c>
      <c r="E292" s="59" t="s">
        <v>9</v>
      </c>
      <c r="F292" s="83">
        <f>+F291</f>
        <v>61.6</v>
      </c>
      <c r="G292" s="83"/>
      <c r="H292" s="60">
        <f t="shared" si="13"/>
        <v>0</v>
      </c>
      <c r="I292" s="76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</row>
    <row r="293" spans="1:256" ht="25.5" x14ac:dyDescent="0.2">
      <c r="A293" s="81"/>
      <c r="B293" s="59">
        <v>191</v>
      </c>
      <c r="C293" s="59">
        <v>185802114</v>
      </c>
      <c r="D293" s="82" t="s">
        <v>165</v>
      </c>
      <c r="E293" s="59" t="s">
        <v>2</v>
      </c>
      <c r="F293" s="91">
        <f>+ (308*20)*0.001*0.001</f>
        <v>6.1600000000000005E-3</v>
      </c>
      <c r="G293" s="83"/>
      <c r="H293" s="60">
        <f t="shared" si="13"/>
        <v>0</v>
      </c>
      <c r="I293" s="95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</row>
    <row r="294" spans="1:256" ht="12.75" x14ac:dyDescent="0.2">
      <c r="A294" s="81"/>
      <c r="B294" s="59">
        <v>192</v>
      </c>
      <c r="C294" s="59" t="s">
        <v>3</v>
      </c>
      <c r="D294" s="82" t="s">
        <v>31</v>
      </c>
      <c r="E294" s="59" t="s">
        <v>14</v>
      </c>
      <c r="F294" s="83">
        <f>F293*1000</f>
        <v>6.16</v>
      </c>
      <c r="G294" s="83"/>
      <c r="H294" s="60">
        <f t="shared" si="13"/>
        <v>0</v>
      </c>
      <c r="I294" s="95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</row>
    <row r="295" spans="1:256" ht="12.75" x14ac:dyDescent="0.2">
      <c r="A295" s="52"/>
      <c r="B295" s="86"/>
      <c r="C295" s="87" t="s">
        <v>158</v>
      </c>
      <c r="D295" s="87"/>
      <c r="E295" s="86"/>
      <c r="F295" s="88"/>
      <c r="G295" s="88"/>
      <c r="H295" s="89"/>
      <c r="I295" s="90"/>
      <c r="J295" s="52"/>
      <c r="K295" s="58"/>
      <c r="L295" s="52"/>
      <c r="M295" s="53"/>
      <c r="N295" s="52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  <c r="IR295" s="53"/>
      <c r="IS295" s="53"/>
      <c r="IT295" s="53"/>
      <c r="IU295" s="53"/>
      <c r="IV295" s="53"/>
    </row>
    <row r="296" spans="1:256" ht="37.5" customHeight="1" x14ac:dyDescent="0.2">
      <c r="A296" s="81"/>
      <c r="B296" s="59">
        <v>193</v>
      </c>
      <c r="C296" s="59">
        <v>185804251</v>
      </c>
      <c r="D296" s="82" t="s">
        <v>157</v>
      </c>
      <c r="E296" s="59" t="s">
        <v>0</v>
      </c>
      <c r="F296" s="83">
        <f>+(13+13+13+13)</f>
        <v>52</v>
      </c>
      <c r="G296" s="83"/>
      <c r="H296" s="60">
        <f>G296*F296</f>
        <v>0</v>
      </c>
      <c r="I296" s="95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</row>
    <row r="297" spans="1:256" ht="12.75" x14ac:dyDescent="0.2">
      <c r="A297" s="52"/>
      <c r="B297" s="86"/>
      <c r="C297" s="54" t="s">
        <v>180</v>
      </c>
      <c r="D297" s="87"/>
      <c r="E297" s="86"/>
      <c r="F297" s="88"/>
      <c r="G297" s="88"/>
      <c r="H297" s="89"/>
      <c r="I297" s="90"/>
      <c r="J297" s="52"/>
      <c r="K297" s="58"/>
      <c r="L297" s="52"/>
      <c r="M297" s="53"/>
      <c r="N297" s="52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  <c r="IR297" s="53"/>
      <c r="IS297" s="53"/>
      <c r="IT297" s="53"/>
      <c r="IU297" s="53"/>
      <c r="IV297" s="53"/>
    </row>
    <row r="298" spans="1:256" ht="25.5" x14ac:dyDescent="0.2">
      <c r="A298" s="81"/>
      <c r="B298" s="59">
        <v>194</v>
      </c>
      <c r="C298" s="59">
        <v>111151131</v>
      </c>
      <c r="D298" s="82" t="s">
        <v>182</v>
      </c>
      <c r="E298" s="59" t="s">
        <v>0</v>
      </c>
      <c r="F298" s="83">
        <f>383*2</f>
        <v>766</v>
      </c>
      <c r="G298" s="83"/>
      <c r="H298" s="60">
        <f>G298*F298</f>
        <v>0</v>
      </c>
      <c r="I298" s="95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  <c r="EO298" s="61"/>
      <c r="EP298" s="61"/>
      <c r="EQ298" s="61"/>
      <c r="ER298" s="61"/>
      <c r="ES298" s="61"/>
      <c r="ET298" s="61"/>
      <c r="EU298" s="61"/>
      <c r="EV298" s="61"/>
      <c r="EW298" s="61"/>
      <c r="EX298" s="61"/>
      <c r="EY298" s="61"/>
      <c r="EZ298" s="61"/>
      <c r="FA298" s="61"/>
      <c r="FB298" s="61"/>
      <c r="FC298" s="61"/>
      <c r="FD298" s="61"/>
      <c r="FE298" s="61"/>
      <c r="FF298" s="61"/>
      <c r="FG298" s="61"/>
      <c r="FH298" s="61"/>
      <c r="FI298" s="61"/>
      <c r="FJ298" s="61"/>
      <c r="FK298" s="61"/>
      <c r="FL298" s="61"/>
      <c r="FM298" s="61"/>
      <c r="FN298" s="61"/>
      <c r="FO298" s="61"/>
      <c r="FP298" s="61"/>
      <c r="FQ298" s="61"/>
      <c r="FR298" s="61"/>
      <c r="FS298" s="61"/>
      <c r="FT298" s="61"/>
      <c r="FU298" s="61"/>
      <c r="FV298" s="61"/>
      <c r="FW298" s="61"/>
      <c r="FX298" s="61"/>
      <c r="FY298" s="61"/>
      <c r="FZ298" s="61"/>
      <c r="GA298" s="61"/>
      <c r="GB298" s="61"/>
      <c r="GC298" s="61"/>
      <c r="GD298" s="61"/>
      <c r="GE298" s="61"/>
      <c r="GF298" s="61"/>
      <c r="GG298" s="61"/>
      <c r="GH298" s="61"/>
      <c r="GI298" s="61"/>
      <c r="GJ298" s="61"/>
      <c r="GK298" s="61"/>
      <c r="GL298" s="61"/>
      <c r="GM298" s="61"/>
      <c r="GN298" s="61"/>
      <c r="GO298" s="61"/>
      <c r="GP298" s="61"/>
      <c r="GQ298" s="61"/>
      <c r="GR298" s="61"/>
      <c r="GS298" s="61"/>
      <c r="GT298" s="61"/>
      <c r="GU298" s="61"/>
      <c r="GV298" s="61"/>
      <c r="GW298" s="61"/>
      <c r="GX298" s="61"/>
      <c r="GY298" s="61"/>
      <c r="GZ298" s="61"/>
      <c r="HA298" s="61"/>
      <c r="HB298" s="61"/>
      <c r="HC298" s="61"/>
      <c r="HD298" s="61"/>
      <c r="HE298" s="61"/>
      <c r="HF298" s="61"/>
      <c r="HG298" s="61"/>
      <c r="HH298" s="61"/>
      <c r="HI298" s="61"/>
      <c r="HJ298" s="61"/>
      <c r="HK298" s="61"/>
      <c r="HL298" s="61"/>
      <c r="HM298" s="61"/>
      <c r="HN298" s="61"/>
      <c r="HO298" s="61"/>
      <c r="HP298" s="61"/>
      <c r="HQ298" s="61"/>
      <c r="HR298" s="61"/>
      <c r="HS298" s="61"/>
      <c r="HT298" s="61"/>
      <c r="HU298" s="61"/>
      <c r="HV298" s="61"/>
      <c r="HW298" s="61"/>
      <c r="HX298" s="61"/>
      <c r="HY298" s="61"/>
      <c r="HZ298" s="61"/>
      <c r="IA298" s="61"/>
      <c r="IB298" s="61"/>
      <c r="IC298" s="61"/>
      <c r="ID298" s="61"/>
      <c r="IE298" s="61"/>
      <c r="IF298" s="61"/>
      <c r="IG298" s="61"/>
      <c r="IH298" s="61"/>
      <c r="II298" s="61"/>
      <c r="IJ298" s="61"/>
      <c r="IK298" s="61"/>
      <c r="IL298" s="61"/>
      <c r="IM298" s="61"/>
      <c r="IN298" s="61"/>
      <c r="IO298" s="61"/>
      <c r="IP298" s="61"/>
      <c r="IQ298" s="61"/>
      <c r="IR298" s="61"/>
      <c r="IS298" s="61"/>
      <c r="IT298" s="61"/>
      <c r="IU298" s="61"/>
      <c r="IV298" s="61"/>
    </row>
    <row r="299" spans="1:256" ht="12.75" x14ac:dyDescent="0.2">
      <c r="A299" s="52"/>
      <c r="B299" s="52"/>
      <c r="C299" s="54"/>
      <c r="D299" s="54" t="s">
        <v>34</v>
      </c>
      <c r="E299" s="52"/>
      <c r="F299" s="55"/>
      <c r="G299" s="55"/>
      <c r="H299" s="56">
        <f>SUM(H277:H298)</f>
        <v>0</v>
      </c>
      <c r="I299" s="57"/>
      <c r="J299" s="52"/>
      <c r="K299" s="58"/>
      <c r="L299" s="52"/>
      <c r="M299" s="53"/>
      <c r="N299" s="52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3"/>
      <c r="IS299" s="53"/>
      <c r="IT299" s="53"/>
      <c r="IU299" s="53"/>
      <c r="IV299" s="53"/>
    </row>
    <row r="300" spans="1:256" ht="13.5" customHeight="1" x14ac:dyDescent="0.2">
      <c r="A300" s="11"/>
    </row>
    <row r="301" spans="1:256" ht="13.5" customHeight="1" x14ac:dyDescent="0.2">
      <c r="A301" s="7"/>
    </row>
    <row r="302" spans="1:256" ht="13.5" customHeight="1" x14ac:dyDescent="0.2">
      <c r="A302" s="7"/>
    </row>
    <row r="303" spans="1:256" ht="13.5" customHeight="1" x14ac:dyDescent="0.2">
      <c r="A303" s="7"/>
    </row>
    <row r="304" spans="1:256" ht="13.5" customHeight="1" x14ac:dyDescent="0.2">
      <c r="A304" s="11"/>
    </row>
    <row r="305" spans="1:9" ht="13.5" customHeight="1" x14ac:dyDescent="0.2">
      <c r="A305" s="7"/>
      <c r="B305" s="2"/>
      <c r="C305" s="2"/>
      <c r="D305" s="2"/>
      <c r="E305" s="2"/>
      <c r="F305" s="2"/>
      <c r="G305" s="2"/>
      <c r="H305" s="2"/>
      <c r="I305" s="2"/>
    </row>
    <row r="306" spans="1:9" ht="13.5" customHeight="1" x14ac:dyDescent="0.2">
      <c r="A306" s="7"/>
      <c r="B306" s="2"/>
      <c r="C306" s="2"/>
      <c r="D306" s="2"/>
      <c r="E306" s="2"/>
      <c r="F306" s="2"/>
      <c r="G306" s="2"/>
      <c r="H306" s="2"/>
      <c r="I306" s="2"/>
    </row>
    <row r="307" spans="1:9" ht="13.5" customHeight="1" x14ac:dyDescent="0.2">
      <c r="A307" s="7"/>
      <c r="B307" s="2"/>
      <c r="C307" s="2"/>
      <c r="D307" s="2"/>
      <c r="E307" s="2"/>
      <c r="F307" s="2"/>
      <c r="G307" s="2"/>
      <c r="H307" s="2"/>
      <c r="I307" s="2"/>
    </row>
  </sheetData>
  <mergeCells count="6">
    <mergeCell ref="G34:H34"/>
    <mergeCell ref="F33:G33"/>
    <mergeCell ref="F37:H37"/>
    <mergeCell ref="B1:H1"/>
    <mergeCell ref="B2:H2"/>
    <mergeCell ref="G21:H21"/>
  </mergeCells>
  <pageMargins left="0.59055118110236227" right="0.39370078740157483" top="0.78740157480314965" bottom="0.70866141732283472" header="0.31496062992125984" footer="0.31496062992125984"/>
  <pageSetup paperSize="9" scale="85" fitToHeight="0" orientation="portrait" horizontalDpi="360" verticalDpi="360" r:id="rId1"/>
  <headerFooter>
    <oddFooter>Stránka &amp;P z &amp;N</oddFooter>
  </headerFooter>
  <rowBreaks count="5" manualBreakCount="5">
    <brk id="79" max="16383" man="1"/>
    <brk id="136" max="16383" man="1"/>
    <brk id="196" max="16383" man="1"/>
    <brk id="236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</vt:lpstr>
      <vt:lpstr>celkový!Oblast_tisku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Sylva Kukutschová</cp:lastModifiedBy>
  <cp:lastPrinted>2020-05-06T00:54:27Z</cp:lastPrinted>
  <dcterms:created xsi:type="dcterms:W3CDTF">2011-04-19T19:51:16Z</dcterms:created>
  <dcterms:modified xsi:type="dcterms:W3CDTF">2020-07-01T08:54:28Z</dcterms:modified>
</cp:coreProperties>
</file>