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tabRatio="820" activeTab="0"/>
  </bookViews>
  <sheets>
    <sheet name="DPS CELK." sheetId="13" r:id="rId1"/>
  </sheets>
  <definedNames>
    <definedName name="_xlnm.Print_Area" localSheetId="0">'DPS CELK.'!$B$1:$H$454</definedName>
  </definedNames>
  <calcPr calcId="152511"/>
  <extLst/>
</workbook>
</file>

<file path=xl/sharedStrings.xml><?xml version="1.0" encoding="utf-8"?>
<sst xmlns="http://schemas.openxmlformats.org/spreadsheetml/2006/main" count="818" uniqueCount="257">
  <si>
    <t>m2</t>
  </si>
  <si>
    <t>ks</t>
  </si>
  <si>
    <t>m</t>
  </si>
  <si>
    <t>poř.č.</t>
  </si>
  <si>
    <t>MJ</t>
  </si>
  <si>
    <t>množství</t>
  </si>
  <si>
    <t>jedn. Cena</t>
  </si>
  <si>
    <t>celkem bez DPH</t>
  </si>
  <si>
    <t>t</t>
  </si>
  <si>
    <t>Specifikace</t>
  </si>
  <si>
    <t>kg</t>
  </si>
  <si>
    <t>Vypracovala: Ing. Kateřina Černohorská</t>
  </si>
  <si>
    <t>Celkem za dílo bez DPH</t>
  </si>
  <si>
    <t>m3</t>
  </si>
  <si>
    <t>Přesun hmot pro sadovnické  a krajinářské úpravy do 5000 m</t>
  </si>
  <si>
    <t>Rákosová rohož 1,8m</t>
  </si>
  <si>
    <t>Mulčovací kůra drcená, vrstva 0,1m</t>
  </si>
  <si>
    <t>Celkem za dílo s DPH</t>
  </si>
  <si>
    <t>DPH 21%</t>
  </si>
  <si>
    <t>18-20, ZB</t>
  </si>
  <si>
    <t>R</t>
  </si>
  <si>
    <t>Dovoz vody pro zálivku na vzdálenost do 1000 m</t>
  </si>
  <si>
    <t>Keře</t>
  </si>
  <si>
    <t>Umělé hnojivo</t>
  </si>
  <si>
    <t xml:space="preserve">Odstranění nevhodných dřevin </t>
  </si>
  <si>
    <t>Celkem za odstranění nevhodných dřevin bez DPH</t>
  </si>
  <si>
    <t>Rekapitulace</t>
  </si>
  <si>
    <t>Symphoricarpos x chenaultii 'Hancock'</t>
  </si>
  <si>
    <t>Cibuloviny</t>
  </si>
  <si>
    <t>12+</t>
  </si>
  <si>
    <t>6+</t>
  </si>
  <si>
    <t>8+</t>
  </si>
  <si>
    <t>4+</t>
  </si>
  <si>
    <t>30-40, K2</t>
  </si>
  <si>
    <t>Trávník parkový</t>
  </si>
  <si>
    <t>Hnojivo (30g/m2)</t>
  </si>
  <si>
    <t>Celkem za terenní úpravy bez DPH</t>
  </si>
  <si>
    <t xml:space="preserve">Terénní úpravy </t>
  </si>
  <si>
    <t xml:space="preserve">Výsadba alejových stromů, ok 18-20 cm </t>
  </si>
  <si>
    <t>Celkem za výsadbu alejových stromů, ok 18-20 cm včetně materiálu bez DPH</t>
  </si>
  <si>
    <t>Výsadba cibulovin</t>
  </si>
  <si>
    <t>Celkem za následnou péči po dobu 1. roku - stromy bez DPH</t>
  </si>
  <si>
    <t>Následná péče po dobu 1. roku - stromy</t>
  </si>
  <si>
    <t>Následná péče po dobu 1. roku - keře</t>
  </si>
  <si>
    <t>Celkem za následnou péči po dobu 1. roku - keře bez DPH</t>
  </si>
  <si>
    <t>Následná péče po dobu 1. roku - trávníky</t>
  </si>
  <si>
    <t>Celkem za následnou péči po dobu 1. roku - trávníky bez DPH</t>
  </si>
  <si>
    <t>Následná péče po dobu 2. roku - stromy</t>
  </si>
  <si>
    <t>Celkem za následnou péči po dobu 2. roku - stromy bez DPH</t>
  </si>
  <si>
    <t>Následná péče po dobu 2. roku - keře</t>
  </si>
  <si>
    <t>Následná péče po dobu 2. roku - trávníky</t>
  </si>
  <si>
    <t>Celkem za následnou péči po dobu 2. roku - trávníky bez DPH</t>
  </si>
  <si>
    <t>Následná péče po dobu 3. roku - stromy</t>
  </si>
  <si>
    <t>Celkem za následnou péči po dobu 3. roku - stromy bez DPH</t>
  </si>
  <si>
    <t>Následná péče po dobu 3. roku - keře</t>
  </si>
  <si>
    <t>Celkem za následnou péči po dobu 3. roku - keře bez DPH</t>
  </si>
  <si>
    <t>Celkem za následnou péči po dobu 2. roku - keře bez DPH</t>
  </si>
  <si>
    <t>Následná péče po dobu 3. roku - trávníky</t>
  </si>
  <si>
    <t>Celkem za následnou péči po dobu 3. roku - trávníky bez DPH</t>
  </si>
  <si>
    <t>Celkem za výsadbu cibulovin včetně materiálu bez DPH</t>
  </si>
  <si>
    <t>Cenová hladina dle katalogu URS 2019</t>
  </si>
  <si>
    <t>REVITALIZACE ZELENĚ NA ULICI FRÝDECKÁ, TŘINEC</t>
  </si>
  <si>
    <t>Allium Purple Sensation</t>
  </si>
  <si>
    <t>Camassia leichtlinii Alba</t>
  </si>
  <si>
    <t>Crocus chrysanthus mix</t>
  </si>
  <si>
    <t>Výsadba cibulí nebo hlíz do připravené půdy - výsadba solitérní (ALL+APS+CAM) (300+150+150)</t>
  </si>
  <si>
    <t>Výsadba cibulí nebo hlíz do připravené půdy - hnízda po cca 5ks (CRO) (8500/5)</t>
  </si>
  <si>
    <t>Hloubení jamek bez výměny půdy zeminy tř 1 až 4 objem do 0,002 m3 v rovině a svahu do 1:5</t>
  </si>
  <si>
    <t>Allium rosenbachianum Album</t>
  </si>
  <si>
    <t>Forsythia x intermedia 'Minigold'</t>
  </si>
  <si>
    <t>Forsythia x intermedia 'Lynwood'</t>
  </si>
  <si>
    <t>Rosa pokryvná 'The Fairy'</t>
  </si>
  <si>
    <t>Rosa pokryvná 'Rote The Fairy'</t>
  </si>
  <si>
    <t>Rosa rugosa 'Alba'</t>
  </si>
  <si>
    <t>30-40, prost.</t>
  </si>
  <si>
    <t>40-60, prost.</t>
  </si>
  <si>
    <t>40-60, K2</t>
  </si>
  <si>
    <t>Výsadba keře bez balu v do 1 m do jamky se zalitím v rovině a svahu do 1:5</t>
  </si>
  <si>
    <t>Výsadba dřeviny s balem D do 0,2 m do jamky se zalitím v rovině a svahu do 1:5</t>
  </si>
  <si>
    <t>Výsadba dřeviny s balem D do 0,2 m do jamky se zalitím ve svahu do 1:2 (SYM 90+120)</t>
  </si>
  <si>
    <t>Fraxinus angustifolia 'Raywood'</t>
  </si>
  <si>
    <t>Platanus x acerifolia 'Huissen'</t>
  </si>
  <si>
    <t>Jamky pro výsadbu s výměnou 50 % půdy zeminy tř 1 až 4 objem do 0,02 m3 v rovině a svahu do 1:5, (27+120)</t>
  </si>
  <si>
    <t>Jamky pro výsadbu s výměnou 50 % půdy zeminy tř 1 až 4 objem do 0,02 m3 ve svahu do 1:2 (200+120+90)</t>
  </si>
  <si>
    <t>Dovoz vody pro zálivku na vzdálenost do 1000 m (20l/keř) (147+410)*0,02</t>
  </si>
  <si>
    <t>Příplatek k dovozu vody pro zálivku rostlin do 1000 m ZKD 1000 m, (další 4000m)</t>
  </si>
  <si>
    <t>Herbicid (10l/ha)</t>
  </si>
  <si>
    <t>l</t>
  </si>
  <si>
    <t>Mulčovací rohož ze 100% kokosu oboustranně zpevněná PP síťovinou 350g/m2, vč. 20% rezervy na přeložení pásů</t>
  </si>
  <si>
    <t>Ocelová kotvící skoba - 15x7,5cm typ "U", uchycení fólie s rozestupem 40-50cm (cca 176*5)</t>
  </si>
  <si>
    <t xml:space="preserve">Přesun hmot pro sadovnické a krajinářské úpravy vodorovně do 5000 m </t>
  </si>
  <si>
    <t>Hloubení jamek bez výměny půdy zeminy tř 1 až 4 objem do 0,02 m3 v rovině a svahu do 1:5 (FOM)</t>
  </si>
  <si>
    <t>Jamky pro výsadbu s výměnou 50 % půdy zeminy tř 1 až 4 objem do 0,02 m3 v rovině a svahu do 1:5, doplnění kompostu pro růže, ROB+ROC+RRB (280+780+800)</t>
  </si>
  <si>
    <t>Dovoz vody pro zálivku na vzdálenost do 1000 m (20l/keř) (340+1860)*0,02</t>
  </si>
  <si>
    <t>Hydroabsorbent a stimulátor např.typu TerraCottem, 30gr/keř (2200*30*0,001)</t>
  </si>
  <si>
    <t>Celkem za výsadbu keřů strana KARIPER včetně materiálu bez DPH</t>
  </si>
  <si>
    <t>Celkem za výsadbu keřů strana TESCO včetně materiálu bez DPH</t>
  </si>
  <si>
    <t>Výsadba dřeviny s balem D do 0,8 m do jamky se zalitím v rovině a svahu do 1:5</t>
  </si>
  <si>
    <t>Ukotvení kmene dřevin třemi kůly D do 0,1 m délky do 3 m</t>
  </si>
  <si>
    <t>Zhotovení závlahové mísy dřevin D do 1,0 m v rovině nebo na svahu do 1:5</t>
  </si>
  <si>
    <t>Hydroabsorbent a stimulátor např.typu TerraCottem, 30gr/keř (410+147)*30*0,001</t>
  </si>
  <si>
    <t>Hnojení půdy umělým hnojivem k jednotlivým rostlinám v rovině a svahu do 1:5 (hydroabsorbent a stimulátor např.typu TerraCottem, 30gr/vysazený keř)</t>
  </si>
  <si>
    <t>Hnojení půdy umělým hnojivem k jednotlivým rostlinám ve svahu do 1:2,  (hydroabsorbent a stimulátor např.typu TerraCottem, 30gr/vysazený keř) (410*30)*0,001*0,001</t>
  </si>
  <si>
    <t>Hnojení půdy umělým hnojivem k jednotlivým rostlinám v rovině a svahu do 1:5 (hydroabsorbent a stimulátor např.typu TerraCottem, 30gr/vysazený keř) (147*30)*0,001*0,001</t>
  </si>
  <si>
    <t>Hnojení půdy umělým hnojivem k jednotlivým rostlinám v rovině a svahu do 1:5 (hydroabsorbent a stimulátor např.typu TerraCottem, 2kg/vysazený strom)</t>
  </si>
  <si>
    <t>Chemické odplevelení před založením kultury nad 20 m2 postřikem na široko v rovině a svahu do 1:5, L1+L2+L3 (217+77+136)</t>
  </si>
  <si>
    <t>Plošná úprava terénu do 500 m2 zemina tř 1 až 4 nerovnosti do 100 mm v rovinně a svahu do 1:5</t>
  </si>
  <si>
    <t>Obdělání půdy kultivátorováním v rovině a svahu do 1:5, 2x</t>
  </si>
  <si>
    <t>Obdělání půdy hrabáním v rovině a svahu do 1:5, 2x</t>
  </si>
  <si>
    <t>Založení lučního trávníku výsevem plochy do 1000 m2 v rovině a ve svahu do 1:5</t>
  </si>
  <si>
    <t>Rozprostření ornice tl vrstvy do 100 mm pl do 500 m2 v rovině nebo ve svahu do 1:5</t>
  </si>
  <si>
    <t xml:space="preserve">R </t>
  </si>
  <si>
    <t>Nástřik výsevu Hydroosevem. Cena vč. Přidání zlepšujících látek: papírovoslámového mulčovacího materiálu, gelu pro uchování vlhkosti, půdního fixátoru pro hydroosev a tekutého biostimulátoru pro rychlejší klíčení a růst</t>
  </si>
  <si>
    <t>Chemické odplevelení před založením kultury nad 20 m2 postřikem na široko v rovině a svahu do 1:5, T1+T2+T3+T4 (36+11+3,5+3,5)</t>
  </si>
  <si>
    <t>Osivo, parková směs (30g/m2)</t>
  </si>
  <si>
    <t>Hnojení půdy umělým hnojivem na široko v rovině a svahu do 1:5 (30g/m2)</t>
  </si>
  <si>
    <t>Založení parkového trávníku výsevem plochy do 1000 m2 v rovině a ve svahu do 1:5</t>
  </si>
  <si>
    <t>Celkem za následnou péči po dobu 1. roku - přímý výsev letniček a trvalek bez DPH</t>
  </si>
  <si>
    <t>Pokosení trávníku parkového plochy do 1000 m2 s odvozem do 20 km v rovině a svahu do 1:5 - 6 sečí</t>
  </si>
  <si>
    <t>Následná péče po dobu 1. roku - přímý výsev letniček a trvalek</t>
  </si>
  <si>
    <t>Celkem za založení trávníku parkového včetně materiálu bez DPH</t>
  </si>
  <si>
    <t>Datum: červen 2019</t>
  </si>
  <si>
    <t xml:space="preserve">Chránička kmene hnědá proti poškození strunovou sekačkou </t>
  </si>
  <si>
    <t>Přesun hmot pro sadovnické a krajinářské úpravy do 5000 m</t>
  </si>
  <si>
    <t>Chemické odplevelení před založením kultury nad 20 m2 postřikem na široko v rovině a svahu do 1:5, M4+M5.1 (7+40)</t>
  </si>
  <si>
    <t>Chemické odplevelení před založením kultury nad 20 m2 postřikem na široko ve svahu do 1:2, M5.2+M6+M7 (67+39+30)</t>
  </si>
  <si>
    <t>Založení záhonu v rovině a svahu do 1:5 na starém záhonu, M4+M5.1 (7+40)</t>
  </si>
  <si>
    <t>Založení záhonu ve svahu do 1:2 na starém záhonu, M5.2+M6+M7 (67+39+30)</t>
  </si>
  <si>
    <t>Mulčování rostlin kůrou tl. do 0,1 m v rovině a svahu do 1:5, keřová skupina M4 (7)</t>
  </si>
  <si>
    <t>Zpevnění svahu kokosovou rohoží, svah do 1:1, pro M5.1+M5.2+M6+M7 (40+67+39+30)</t>
  </si>
  <si>
    <t>Osivo (4,5g/m2) (TENOR, dlouhodobá směs letniček, dvouletek a trvalek pro přímý výsev, L1=1000g, L2=360g, L3= 640g)</t>
  </si>
  <si>
    <t>Založení záhonu v rovině a svahu do 1:5 zemina tř 3, M1+M2+M3 (178+295+190)</t>
  </si>
  <si>
    <t>Zpětný řez trnitých keřů po výsadbě výšky do 0,5 m (růže)</t>
  </si>
  <si>
    <t>Mulčování rostlin kůrou tl. do 0,1 m v rovině a svahu do 1:5, M1+M2+M3 (178+295+190)</t>
  </si>
  <si>
    <t>Rozprostření ornice tl vrstvy do 300 mm pl do 500 m2 v rovině nebo ve svahu do 1:5, vrstva 0-500mm, (L2+L3+T1) (77+136+36)</t>
  </si>
  <si>
    <t>Rozprostření ornice tl vrstvy do 300 mm pl do 500 m2 v rovině nebo ve svahu do 1:5, (M1+M2+M3) (178+295+190)</t>
  </si>
  <si>
    <t>Ocelová pásovina 70/5mm s navařenými kotvicími trny, cca 1,5+1,5m/strom, pro soliterní stromy 12, 13, 14, 15 (přesnou délku zaměří realizační fa) (4*3)</t>
  </si>
  <si>
    <t>Zrušení rabátek okolo kácených stromů S139 a S140, odstranění pásoviny, kůrového mulče a doplnění 10cm ornice</t>
  </si>
  <si>
    <t>Odstranění nevhodných dřevin do 100 m2 výšky nad 1m s odstraněním pařezů v rovině nebo svahu 1:5 (S115, S117, S118, S120, S122, S123, S132, S139, S140)</t>
  </si>
  <si>
    <t>Směrové kácení stromů s rozřezáním a odvětvením D kmene do 200 mm (S113, S130, S135)</t>
  </si>
  <si>
    <t>Odstranění pařezů D do 0,2 m v rovině a svahu 1:5 s odklizením do 20 m a zasypáním jámy</t>
  </si>
  <si>
    <t>Vodorovné přemístění křovin do 5 km D kmene do 100 mm</t>
  </si>
  <si>
    <t xml:space="preserve">Vodorovné přemístění větví stromů listnatých do 5 km D kmene do 300 mm </t>
  </si>
  <si>
    <t>Vodorovné přemístění kmenů stromů listnatých do 5 km D kmene do 300 mm</t>
  </si>
  <si>
    <t>Vodorovné přemístění pařezů do 5 km D do 300 mm</t>
  </si>
  <si>
    <t>Celkem za řezy stromů a biotech. opatření bez DPH</t>
  </si>
  <si>
    <t>Řez stromu výchovný alejových stromů výšky přes 6 do 9 m (S112, S124, S126, S127, S129, S133, S134, S138, S144)</t>
  </si>
  <si>
    <t>Řez stromu zdravotní o ploše koruny do 60 m2 lezeckou technikou (S03, S106)</t>
  </si>
  <si>
    <t>Řezy stromů a biotechnická opatření</t>
  </si>
  <si>
    <t>Odstranění nadzemního flexibilu (S144, S138, S133)</t>
  </si>
  <si>
    <t>Sejmutí ornice s přemístěním na vzdálenost do 50 m, vrstva 0,4m, 80% z (M1) (178)*0,4*0,8</t>
  </si>
  <si>
    <t>Sejmutí ornice s přemístěním na vzdálenost do 50 m, vrstva 0,3m, 80% z (M2+M3) (295+190)*0,3*0,8</t>
  </si>
  <si>
    <t>Sejmutí ornice tl vrstvy přes 150 mm ručně s odhozením do 3 m bez vodorovného přemístění, sejmutí v kořenových zónách stromů, 20% z (M2+M3) (295+190)*0,3*0,2</t>
  </si>
  <si>
    <t>Sejmutí ornice tl vrstvy přes 150 mm ručně s odhozením do 3 m bez vodorovného přemístění, sejmutí v kořenových zónách stromů, 20% z (M1) (178)*0,4*0,2</t>
  </si>
  <si>
    <t xml:space="preserve">Odvoz a skládkovné odpadní zeminy </t>
  </si>
  <si>
    <t xml:space="preserve">Dovoz vody pro zálivku na vzdálenost do 1000 m </t>
  </si>
  <si>
    <t xml:space="preserve">Kůl 2,5m, prům. 80 mm, tlak.impregnovaný </t>
  </si>
  <si>
    <t>Mulčovací kůra drcená  (doplnění 5cm)</t>
  </si>
  <si>
    <t>Vypletí záhonu dřevin ve skupinách s naložením a odvozem odpadu do 20 km v rovině a svahu do 1:5 (3x) M1+M2+M3+M4+M5.1 (178+295+190+7+40)*3</t>
  </si>
  <si>
    <t>Vypletí záhonu dřevin ve skupinách s naložením a odvozem odpadu do 20 km ve svahu do 1:2, případně úprava mulčovací rohože (3x) M5.2+M6+M7 (67+39+30)*3</t>
  </si>
  <si>
    <t>Ochrana rostlin před mrazem přikrytím - keřových růží bez svázání, ROB+ROC (222+46)</t>
  </si>
  <si>
    <t xml:space="preserve">Ochrana rostlin před mrazem odkrytím - keřových růží bez svázání </t>
  </si>
  <si>
    <t xml:space="preserve">Mulčovací kůra drcená  (doplnění 5cm) </t>
  </si>
  <si>
    <t>Mulčování rostlin kůrou tl. do 0,1 m v rovině a svahu do 1:5   M1+M2M3+M4 (178+295+190+7)</t>
  </si>
  <si>
    <t>Zalití rostlin vodou plocha přes 20 m2 ( 5x 20 l / m2 ) L1+L2+L3 (430*5*0,02)</t>
  </si>
  <si>
    <t>Pokosení trávníku lučního plochy do 1000 m2 s odvozem do 20 km v rovině a svahu do 1:5 - pokosení výsevu</t>
  </si>
  <si>
    <t>Následná péče po dobu 1. roku - cibuloviny</t>
  </si>
  <si>
    <t>Celkem za následnou péči po dobu 1. roku - cibuloviny bez DPH</t>
  </si>
  <si>
    <t>Odstranění odkvetlých a odumřelých částí letniček, cibulovin s odklizením odpadu do 20 km - cibulovin</t>
  </si>
  <si>
    <t>Hnojení půdy umělým hnojivem k jednotlivým rostlinám v rovině a svahu do 1:5,  100g/strom</t>
  </si>
  <si>
    <t>Hnojení půdy umělým hnojivem k jednotlivým rostlinám v rovině a svahu do 1:5,  20g/m2, (178+295+190+7+40+67+39+30)*20*0,001*0,001</t>
  </si>
  <si>
    <t>Následná péče po dobu 2. roku - cibuloviny</t>
  </si>
  <si>
    <t>Celkem za následnou péči po dobu 2. roku - cibuloviny bez DPH</t>
  </si>
  <si>
    <t>Následná péče po dobu 2. roku - přímý výsev letniček a trvalek</t>
  </si>
  <si>
    <t>Celkem za následnou péči po dobu 2. roku - přímý výsev letniček a trvalek bez DPH</t>
  </si>
  <si>
    <t>Řez stromu výchovný alejových stromů výšky přes 4 do 6 m</t>
  </si>
  <si>
    <t>Odstranění obalu z rákosové nebo kokosové rohože v rovině a svahu do 1:5, vč. Odstranění úvazků kmene</t>
  </si>
  <si>
    <t>Následná péče po dobu 3. roku - cibuloviny</t>
  </si>
  <si>
    <t>Celkem za následnou péči po dobu 3. roku - cibuloviny bez DPH</t>
  </si>
  <si>
    <t>Následná péče po dobu 3. roku - přímý výsev letniček a trvalek</t>
  </si>
  <si>
    <t>Celkem za následnou péči po dobu 3. roku - přímý výsev letniček a trvalek bez DPH</t>
  </si>
  <si>
    <t>Následná péče po dobu 4. roku - stromy</t>
  </si>
  <si>
    <t>Celkem za následnou péči po dobu 4. roku - stromy bez DPH</t>
  </si>
  <si>
    <t>Následná péče po dobu 4. roku - keře</t>
  </si>
  <si>
    <t>Celkem za následnou péči po dobu 4. roku - keře bez DPH</t>
  </si>
  <si>
    <t>Následná péče po dobu 4. roku - cibuloviny</t>
  </si>
  <si>
    <t>Celkem za následnou péči po dobu 4. roku - cibuloviny bez DPH</t>
  </si>
  <si>
    <t>Následná péče po dobu 4. roku - přímý výsev letniček a trvalek</t>
  </si>
  <si>
    <t>Celkem za následnou péči po dobu 4. roku - přímý výsev letniček a trvalek bez DPH</t>
  </si>
  <si>
    <t>Následná péče po dobu 4. roku - trávníky</t>
  </si>
  <si>
    <t>Celkem za následnou péči po dobu 4. roku - trávníky bez DPH</t>
  </si>
  <si>
    <t>Následná péče po dobu 5. roku - stromy</t>
  </si>
  <si>
    <t>Celkem za následnou péči po dobu 5. roku - stromy bez DPH</t>
  </si>
  <si>
    <t>Následná péče po dobu 5. roku - keře</t>
  </si>
  <si>
    <t>Celkem za následnou péči po dobu 5. roku - keře bez DPH</t>
  </si>
  <si>
    <t>Následná péče po dobu 5. roku - cibuloviny</t>
  </si>
  <si>
    <t>Celkem za následnou péči po dobu 5. roku - cibuloviny bez DPH</t>
  </si>
  <si>
    <t>Následná péče po dobu 5. roku - přímý výsev letniček a trvalek</t>
  </si>
  <si>
    <t>Celkem za následnou péči po dobu 5. roku - přímý výsev letniček a trvalek bez DPH</t>
  </si>
  <si>
    <t>Následná péče po dobu 5. roku - trávníky</t>
  </si>
  <si>
    <t>Celkem za následnou péči po dobu 5. roku - trávníky bez DPH</t>
  </si>
  <si>
    <t>Odstranění ukotvení kmene dřevin třemi kůly D do 0,1 m délky do 3 m</t>
  </si>
  <si>
    <t>Zalití rostlin vodou plocha přes 20 m2 ( 10 x 20 l / m2 ) (178+295+190+7+40+67+39+30)*10*20*0,001</t>
  </si>
  <si>
    <t>Odstranění ukotvení kmene dřevin třemi kůly D do 0,1 m délky do 3 m - ODSTRANĚNÍ VRCHNÍ ČÁSTI KOTVENÍ. SPODNÍ TROJITÁ ŘADA PŘÍČEK BUDE PONECHÁNA JAKO DOČASNÁ OCHRANA.</t>
  </si>
  <si>
    <t>Zalití rostlin vodou plocha přes 20 m2 ( 5 x 20 l / m2 ) (178+295+190+7+40+67+39+30)*5*20/1000</t>
  </si>
  <si>
    <t>Odstranění nevhodných dřevin do 500 m2 výšky do 1m s odstraněním pařezů v rovině nebo svahu 1:5 (K2, K3, K4) (178+307+190)</t>
  </si>
  <si>
    <t>Odstranění obalu z rákosové nebo kokosové rohože v rovině a svahu do 1:5, vč. Odstranění úvazků kmene (S133)</t>
  </si>
  <si>
    <t>Odvoz a skládkovné odpadu</t>
  </si>
  <si>
    <t>Výsadba keřů - strana KARIPER (východní pás zeleně)</t>
  </si>
  <si>
    <t>Výsadba keřů - strana TESCO (západní pás zeleně)</t>
  </si>
  <si>
    <t>Skládkovné odpadu</t>
  </si>
  <si>
    <t>Ochrana stromu protikořenovou clonou v rovině nebo na svahu do 1:5 hloubky do 1000 mm, instalace na dno jámy, rezerva 30%, OF1,2,4,5,6,7,8,9 (8*2)*1,3</t>
  </si>
  <si>
    <t>Ochrana stromu protikořenovou clonou v rovině nebo na svahu do 1:5 hloubky do 1400 mm,  instalace na stěnu jámy, rezerva 30%, OF3,10,11 (3*2)*1,3</t>
  </si>
  <si>
    <t>Osazení skrytého zahradního obrubníku - ocelové pásoviny (čtvercové rabátko pro soliterní stromy 12, 13, 14, 15)  cca 1,5+1,5m/strom</t>
  </si>
  <si>
    <t>Instalace chráničky kmene proti poškození strun.sekačkou (soliterní stromy)</t>
  </si>
  <si>
    <t>Plošná úprava terénu do 500 m2 zemina tř 1 až 4 nerovnosti do 100 mm v rovinně a svahu do 1:5, L1+L2+L3 (217+77+136)</t>
  </si>
  <si>
    <t>Rozprostření ornice tl vrstvy do 100 mm pl do 500 m2 v rovině nebo ve svahu do 1:5, L1+L2+L3 (217+77+136)</t>
  </si>
  <si>
    <t>Stromy</t>
  </si>
  <si>
    <t>Protikořenová bariéra např. typu Greenmax/Rootcontrol, výška 1m šířka 2m/strom, rezerva 30%</t>
  </si>
  <si>
    <t>Protikořenová bariéra např. typu Greenmax/Rootcontrol, výška 1,3m šířka 2m/strom, rezerva 30%</t>
  </si>
  <si>
    <t>Pěstební substrát typ A (parametry substrátu jsou uvedeny v tech. zprávě), pro dorovnání letničkových záhonů a trávníku u KARIPERU, vrstva 0-500mm, cena vč. dopravy (L2+L3+T2) (77+136+36)*0,2</t>
  </si>
  <si>
    <t>Ruční hloubení jamek pro výsadbu s výměnou 100 % půdy zeminy tř 1 až 4 objem do 2 m3 v rovině a svahu do 1:5</t>
  </si>
  <si>
    <t>Pěstební substrát typ A (parametry substrátu jsou uvedeny v tech. zprávě), finální vrstva 40mm pro letničkové záhony u KARIPERU, cena vč. Dopravy (430*0,04)</t>
  </si>
  <si>
    <t>CELKEM ZALOŽENÍ</t>
  </si>
  <si>
    <t>CELKEM ZA NÁSLEDNOU PÉČI 1.ROKU</t>
  </si>
  <si>
    <t>CELKEM ZA NÁSLEDNOU PÉČI 2.ROKU</t>
  </si>
  <si>
    <t>CELKEM ZA NÁSLEDNOU PÉČI 3.ROKU</t>
  </si>
  <si>
    <t>CELKEM ZA NÁSLEDNOU PÉČI 4.ROKU</t>
  </si>
  <si>
    <t>CELKEM ZA NÁSLEDNOU PÉČI 5.ROKU</t>
  </si>
  <si>
    <t>Pěstební substrát typ A (parametry substrátu jsou uvedeny v tech. zprávě), pro výměnu v záhonech, vrstva 250mm, cena vč. dopravy  (M1+M2+M3) (178+295+190)*0,25</t>
  </si>
  <si>
    <t>Pěstební substrát typ C (substrát pro okrasné dřeviny), pro výměnu v jamkách, cena vč. dopravy  (147+410)*0,02*0,5</t>
  </si>
  <si>
    <t>Pěstební substrát typ D (substrát/kompost pro růže), cena vč. dopravy (1860)*0,02*0,5</t>
  </si>
  <si>
    <t>Pěstební substrát typ E (Trávníkový substrát překrývací), finální vrstva 40mm pro letničkové záhony u KARIPERU, cena vč. Dopravy (430*0,04)</t>
  </si>
  <si>
    <t>Vytyčení inženýrských sítí - soubor</t>
  </si>
  <si>
    <t>Vytyčení inženýrských sítí dle PD</t>
  </si>
  <si>
    <t>Celkem za vytyčení inženýrských sítí - soubor bez DPH</t>
  </si>
  <si>
    <t>Řez a tvarování živých plotů přímých v do 0,8 m a š do 0,8 m s odvozem odpadu do 20 km (FOM)</t>
  </si>
  <si>
    <t>Řez růží mnohokvětých</t>
  </si>
  <si>
    <t>Odvoz a skládkovné odpadní zeminy (2*1)*19*1,4</t>
  </si>
  <si>
    <t>Zhotovení drenážní vrstvy na dně výsadbové jámy (vrstva 200mm), štěrk praný fr. 16-32 mm (2*1*19)</t>
  </si>
  <si>
    <t>Zhotovení obalu z rákosové nebo kokosové rohože v rovině a svahu do 1:5 (19*0,6)</t>
  </si>
  <si>
    <t>Mulčování rostlin kůrou tl. do 0,1 m v rovině a svahu do 1:5 (solitérní stromy) (8*1,5*1,5)</t>
  </si>
  <si>
    <t>Dovoz vody pro zálivku na vzdálenost do 1000 m (100l/strom), 19*0,1</t>
  </si>
  <si>
    <t>Drenážní vrstva, štěrk praný fr. 16-32 mm (0,3m3/strom) (0,3*19)</t>
  </si>
  <si>
    <t>Pěstební substrát typ A (parametry substrátu jsou uvedeny v tech. zprávě), cena vč. Dopravy (0,4m3/strom) (0,4*19)</t>
  </si>
  <si>
    <t>Pěstební substrát typ B (parametry substrátu jsou uvedeny v tech. zprávě), cena vč. Dopravy (0,8m3/strom) (0,8*19)</t>
  </si>
  <si>
    <t>Hydroabsorbent a stimulátor např.typu TerraCottem, 2kg/vysazený strom, (19*2)</t>
  </si>
  <si>
    <t>Kůl 2,5m, prům. 80 mm, tlak.impregnovaný (19*3)</t>
  </si>
  <si>
    <t>Příčky z půlené kulatiny délky 80cm, prům. 80 mm, tlak.impregnované, 12ks/strom (19*12)</t>
  </si>
  <si>
    <t>Vázací tkaný popruh š. 35mm (19*3)</t>
  </si>
  <si>
    <t>Zalití rostlin vodou plocha přes 20 m2 (10 x 100 l / strom) (10*19*0,1)</t>
  </si>
  <si>
    <t>Kontrola kotvení a znovuuvázání při 10% (19*3*0,1)</t>
  </si>
  <si>
    <t>Oprava a doplnění kůlů při 10% (19*3*0,1)</t>
  </si>
  <si>
    <t>Vypletí záhonu dřevin soliterních s naložením a odvozem odpadu do 20 km v rovině a svahu do 1:5 (3x) (3*8*3,14*0,5*0,5)</t>
  </si>
  <si>
    <t>Mulčování rostlin kůrou tl. do 0,1 m v rovině a svahu do 1:5  - solitér.stromy (8*3,14*0,5*0,5)</t>
  </si>
  <si>
    <t>Zalití rostlin vodou plocha přes 20 m2 (5 x 100 l / strom) (5*19*0,1)</t>
  </si>
  <si>
    <t>F.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</si>
</sst>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.0000"/>
    <numFmt numFmtId="166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4" fontId="2" fillId="0" borderId="0" xfId="2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4" fontId="2" fillId="0" borderId="0" xfId="2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4" fontId="9" fillId="0" borderId="0" xfId="2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4" fontId="12" fillId="0" borderId="0" xfId="20" applyFont="1" applyFill="1" applyBorder="1" applyAlignment="1">
      <alignment horizontal="right" vertical="center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4" fontId="8" fillId="0" borderId="0" xfId="20" applyFont="1" applyFill="1" applyBorder="1" applyAlignment="1">
      <alignment horizontal="left" vertical="center"/>
    </xf>
    <xf numFmtId="164" fontId="8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44" fontId="8" fillId="0" borderId="1" xfId="2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44" fontId="7" fillId="0" borderId="1" xfId="20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44" fontId="12" fillId="0" borderId="0" xfId="20" applyFont="1" applyFill="1" applyBorder="1"/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4" fontId="9" fillId="0" borderId="0" xfId="2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44" fontId="13" fillId="0" borderId="0" xfId="0" applyNumberFormat="1" applyFont="1" applyFill="1" applyBorder="1" applyAlignment="1">
      <alignment horizontal="center" wrapText="1"/>
    </xf>
    <xf numFmtId="44" fontId="10" fillId="0" borderId="0" xfId="0" applyNumberFormat="1" applyFont="1" applyFill="1" applyBorder="1" applyAlignment="1">
      <alignment horizontal="center" wrapText="1"/>
    </xf>
    <xf numFmtId="44" fontId="9" fillId="0" borderId="0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5"/>
  <sheetViews>
    <sheetView tabSelected="1" view="pageBreakPreview" zoomScale="115" zoomScaleSheetLayoutView="115" workbookViewId="0" topLeftCell="A1">
      <selection activeCell="B3" sqref="B3"/>
    </sheetView>
  </sheetViews>
  <sheetFormatPr defaultColWidth="9.140625" defaultRowHeight="13.5" customHeight="1"/>
  <cols>
    <col min="1" max="1" width="4.00390625" style="20" customWidth="1"/>
    <col min="2" max="2" width="4.00390625" style="1" customWidth="1"/>
    <col min="3" max="3" width="11.28125" style="3" customWidth="1"/>
    <col min="4" max="4" width="56.7109375" style="5" customWidth="1"/>
    <col min="5" max="5" width="3.57421875" style="1" bestFit="1" customWidth="1"/>
    <col min="6" max="6" width="8.00390625" style="6" customWidth="1"/>
    <col min="7" max="7" width="11.00390625" style="25" customWidth="1"/>
    <col min="8" max="8" width="16.28125" style="7" customWidth="1"/>
    <col min="9" max="9" width="14.57421875" style="21" customWidth="1"/>
    <col min="10" max="10" width="10.8515625" style="2" customWidth="1"/>
    <col min="11" max="11" width="14.7109375" style="2" bestFit="1" customWidth="1"/>
    <col min="12" max="249" width="9.140625" style="2" customWidth="1"/>
    <col min="250" max="250" width="0.71875" style="2" customWidth="1"/>
    <col min="251" max="251" width="4.57421875" style="2" customWidth="1"/>
    <col min="252" max="252" width="11.28125" style="2" customWidth="1"/>
    <col min="253" max="253" width="52.7109375" style="2" customWidth="1"/>
    <col min="254" max="254" width="3.57421875" style="2" bestFit="1" customWidth="1"/>
    <col min="255" max="255" width="8.00390625" style="2" customWidth="1"/>
    <col min="256" max="256" width="9.7109375" style="2" customWidth="1"/>
    <col min="257" max="257" width="15.00390625" style="2" customWidth="1"/>
    <col min="258" max="258" width="15.57421875" style="2" customWidth="1"/>
    <col min="259" max="259" width="21.7109375" style="2" customWidth="1"/>
    <col min="260" max="261" width="8.140625" style="2" customWidth="1"/>
    <col min="262" max="262" width="18.00390625" style="2" customWidth="1"/>
    <col min="263" max="263" width="9.140625" style="2" customWidth="1"/>
    <col min="264" max="264" width="14.7109375" style="2" customWidth="1"/>
    <col min="265" max="505" width="9.140625" style="2" customWidth="1"/>
    <col min="506" max="506" width="0.71875" style="2" customWidth="1"/>
    <col min="507" max="507" width="4.57421875" style="2" customWidth="1"/>
    <col min="508" max="508" width="11.28125" style="2" customWidth="1"/>
    <col min="509" max="509" width="52.7109375" style="2" customWidth="1"/>
    <col min="510" max="510" width="3.57421875" style="2" bestFit="1" customWidth="1"/>
    <col min="511" max="511" width="8.00390625" style="2" customWidth="1"/>
    <col min="512" max="512" width="9.7109375" style="2" customWidth="1"/>
    <col min="513" max="513" width="15.00390625" style="2" customWidth="1"/>
    <col min="514" max="514" width="15.57421875" style="2" customWidth="1"/>
    <col min="515" max="515" width="21.7109375" style="2" customWidth="1"/>
    <col min="516" max="517" width="8.140625" style="2" customWidth="1"/>
    <col min="518" max="518" width="18.00390625" style="2" customWidth="1"/>
    <col min="519" max="519" width="9.140625" style="2" customWidth="1"/>
    <col min="520" max="520" width="14.7109375" style="2" customWidth="1"/>
    <col min="521" max="761" width="9.140625" style="2" customWidth="1"/>
    <col min="762" max="762" width="0.71875" style="2" customWidth="1"/>
    <col min="763" max="763" width="4.57421875" style="2" customWidth="1"/>
    <col min="764" max="764" width="11.28125" style="2" customWidth="1"/>
    <col min="765" max="765" width="52.7109375" style="2" customWidth="1"/>
    <col min="766" max="766" width="3.57421875" style="2" bestFit="1" customWidth="1"/>
    <col min="767" max="767" width="8.00390625" style="2" customWidth="1"/>
    <col min="768" max="768" width="9.7109375" style="2" customWidth="1"/>
    <col min="769" max="769" width="15.00390625" style="2" customWidth="1"/>
    <col min="770" max="770" width="15.57421875" style="2" customWidth="1"/>
    <col min="771" max="771" width="21.7109375" style="2" customWidth="1"/>
    <col min="772" max="773" width="8.140625" style="2" customWidth="1"/>
    <col min="774" max="774" width="18.00390625" style="2" customWidth="1"/>
    <col min="775" max="775" width="9.140625" style="2" customWidth="1"/>
    <col min="776" max="776" width="14.7109375" style="2" customWidth="1"/>
    <col min="777" max="1017" width="9.140625" style="2" customWidth="1"/>
    <col min="1018" max="1018" width="0.71875" style="2" customWidth="1"/>
    <col min="1019" max="1019" width="4.57421875" style="2" customWidth="1"/>
    <col min="1020" max="1020" width="11.28125" style="2" customWidth="1"/>
    <col min="1021" max="1021" width="52.7109375" style="2" customWidth="1"/>
    <col min="1022" max="1022" width="3.57421875" style="2" bestFit="1" customWidth="1"/>
    <col min="1023" max="1023" width="8.00390625" style="2" customWidth="1"/>
    <col min="1024" max="1024" width="9.7109375" style="2" customWidth="1"/>
    <col min="1025" max="1025" width="15.00390625" style="2" customWidth="1"/>
    <col min="1026" max="1026" width="15.57421875" style="2" customWidth="1"/>
    <col min="1027" max="1027" width="21.7109375" style="2" customWidth="1"/>
    <col min="1028" max="1029" width="8.140625" style="2" customWidth="1"/>
    <col min="1030" max="1030" width="18.00390625" style="2" customWidth="1"/>
    <col min="1031" max="1031" width="9.140625" style="2" customWidth="1"/>
    <col min="1032" max="1032" width="14.7109375" style="2" customWidth="1"/>
    <col min="1033" max="1273" width="9.140625" style="2" customWidth="1"/>
    <col min="1274" max="1274" width="0.71875" style="2" customWidth="1"/>
    <col min="1275" max="1275" width="4.57421875" style="2" customWidth="1"/>
    <col min="1276" max="1276" width="11.28125" style="2" customWidth="1"/>
    <col min="1277" max="1277" width="52.7109375" style="2" customWidth="1"/>
    <col min="1278" max="1278" width="3.57421875" style="2" bestFit="1" customWidth="1"/>
    <col min="1279" max="1279" width="8.00390625" style="2" customWidth="1"/>
    <col min="1280" max="1280" width="9.7109375" style="2" customWidth="1"/>
    <col min="1281" max="1281" width="15.00390625" style="2" customWidth="1"/>
    <col min="1282" max="1282" width="15.57421875" style="2" customWidth="1"/>
    <col min="1283" max="1283" width="21.7109375" style="2" customWidth="1"/>
    <col min="1284" max="1285" width="8.140625" style="2" customWidth="1"/>
    <col min="1286" max="1286" width="18.00390625" style="2" customWidth="1"/>
    <col min="1287" max="1287" width="9.140625" style="2" customWidth="1"/>
    <col min="1288" max="1288" width="14.7109375" style="2" customWidth="1"/>
    <col min="1289" max="1529" width="9.140625" style="2" customWidth="1"/>
    <col min="1530" max="1530" width="0.71875" style="2" customWidth="1"/>
    <col min="1531" max="1531" width="4.57421875" style="2" customWidth="1"/>
    <col min="1532" max="1532" width="11.28125" style="2" customWidth="1"/>
    <col min="1533" max="1533" width="52.7109375" style="2" customWidth="1"/>
    <col min="1534" max="1534" width="3.57421875" style="2" bestFit="1" customWidth="1"/>
    <col min="1535" max="1535" width="8.00390625" style="2" customWidth="1"/>
    <col min="1536" max="1536" width="9.7109375" style="2" customWidth="1"/>
    <col min="1537" max="1537" width="15.00390625" style="2" customWidth="1"/>
    <col min="1538" max="1538" width="15.57421875" style="2" customWidth="1"/>
    <col min="1539" max="1539" width="21.7109375" style="2" customWidth="1"/>
    <col min="1540" max="1541" width="8.140625" style="2" customWidth="1"/>
    <col min="1542" max="1542" width="18.00390625" style="2" customWidth="1"/>
    <col min="1543" max="1543" width="9.140625" style="2" customWidth="1"/>
    <col min="1544" max="1544" width="14.7109375" style="2" customWidth="1"/>
    <col min="1545" max="1785" width="9.140625" style="2" customWidth="1"/>
    <col min="1786" max="1786" width="0.71875" style="2" customWidth="1"/>
    <col min="1787" max="1787" width="4.57421875" style="2" customWidth="1"/>
    <col min="1788" max="1788" width="11.28125" style="2" customWidth="1"/>
    <col min="1789" max="1789" width="52.7109375" style="2" customWidth="1"/>
    <col min="1790" max="1790" width="3.57421875" style="2" bestFit="1" customWidth="1"/>
    <col min="1791" max="1791" width="8.00390625" style="2" customWidth="1"/>
    <col min="1792" max="1792" width="9.7109375" style="2" customWidth="1"/>
    <col min="1793" max="1793" width="15.00390625" style="2" customWidth="1"/>
    <col min="1794" max="1794" width="15.57421875" style="2" customWidth="1"/>
    <col min="1795" max="1795" width="21.7109375" style="2" customWidth="1"/>
    <col min="1796" max="1797" width="8.140625" style="2" customWidth="1"/>
    <col min="1798" max="1798" width="18.00390625" style="2" customWidth="1"/>
    <col min="1799" max="1799" width="9.140625" style="2" customWidth="1"/>
    <col min="1800" max="1800" width="14.7109375" style="2" customWidth="1"/>
    <col min="1801" max="2041" width="9.140625" style="2" customWidth="1"/>
    <col min="2042" max="2042" width="0.71875" style="2" customWidth="1"/>
    <col min="2043" max="2043" width="4.57421875" style="2" customWidth="1"/>
    <col min="2044" max="2044" width="11.28125" style="2" customWidth="1"/>
    <col min="2045" max="2045" width="52.7109375" style="2" customWidth="1"/>
    <col min="2046" max="2046" width="3.57421875" style="2" bestFit="1" customWidth="1"/>
    <col min="2047" max="2047" width="8.00390625" style="2" customWidth="1"/>
    <col min="2048" max="2048" width="9.7109375" style="2" customWidth="1"/>
    <col min="2049" max="2049" width="15.00390625" style="2" customWidth="1"/>
    <col min="2050" max="2050" width="15.57421875" style="2" customWidth="1"/>
    <col min="2051" max="2051" width="21.7109375" style="2" customWidth="1"/>
    <col min="2052" max="2053" width="8.140625" style="2" customWidth="1"/>
    <col min="2054" max="2054" width="18.00390625" style="2" customWidth="1"/>
    <col min="2055" max="2055" width="9.140625" style="2" customWidth="1"/>
    <col min="2056" max="2056" width="14.7109375" style="2" customWidth="1"/>
    <col min="2057" max="2297" width="9.140625" style="2" customWidth="1"/>
    <col min="2298" max="2298" width="0.71875" style="2" customWidth="1"/>
    <col min="2299" max="2299" width="4.57421875" style="2" customWidth="1"/>
    <col min="2300" max="2300" width="11.28125" style="2" customWidth="1"/>
    <col min="2301" max="2301" width="52.7109375" style="2" customWidth="1"/>
    <col min="2302" max="2302" width="3.57421875" style="2" bestFit="1" customWidth="1"/>
    <col min="2303" max="2303" width="8.00390625" style="2" customWidth="1"/>
    <col min="2304" max="2304" width="9.7109375" style="2" customWidth="1"/>
    <col min="2305" max="2305" width="15.00390625" style="2" customWidth="1"/>
    <col min="2306" max="2306" width="15.57421875" style="2" customWidth="1"/>
    <col min="2307" max="2307" width="21.7109375" style="2" customWidth="1"/>
    <col min="2308" max="2309" width="8.140625" style="2" customWidth="1"/>
    <col min="2310" max="2310" width="18.00390625" style="2" customWidth="1"/>
    <col min="2311" max="2311" width="9.140625" style="2" customWidth="1"/>
    <col min="2312" max="2312" width="14.7109375" style="2" customWidth="1"/>
    <col min="2313" max="2553" width="9.140625" style="2" customWidth="1"/>
    <col min="2554" max="2554" width="0.71875" style="2" customWidth="1"/>
    <col min="2555" max="2555" width="4.57421875" style="2" customWidth="1"/>
    <col min="2556" max="2556" width="11.28125" style="2" customWidth="1"/>
    <col min="2557" max="2557" width="52.7109375" style="2" customWidth="1"/>
    <col min="2558" max="2558" width="3.57421875" style="2" bestFit="1" customWidth="1"/>
    <col min="2559" max="2559" width="8.00390625" style="2" customWidth="1"/>
    <col min="2560" max="2560" width="9.7109375" style="2" customWidth="1"/>
    <col min="2561" max="2561" width="15.00390625" style="2" customWidth="1"/>
    <col min="2562" max="2562" width="15.57421875" style="2" customWidth="1"/>
    <col min="2563" max="2563" width="21.7109375" style="2" customWidth="1"/>
    <col min="2564" max="2565" width="8.140625" style="2" customWidth="1"/>
    <col min="2566" max="2566" width="18.00390625" style="2" customWidth="1"/>
    <col min="2567" max="2567" width="9.140625" style="2" customWidth="1"/>
    <col min="2568" max="2568" width="14.7109375" style="2" customWidth="1"/>
    <col min="2569" max="2809" width="9.140625" style="2" customWidth="1"/>
    <col min="2810" max="2810" width="0.71875" style="2" customWidth="1"/>
    <col min="2811" max="2811" width="4.57421875" style="2" customWidth="1"/>
    <col min="2812" max="2812" width="11.28125" style="2" customWidth="1"/>
    <col min="2813" max="2813" width="52.7109375" style="2" customWidth="1"/>
    <col min="2814" max="2814" width="3.57421875" style="2" bestFit="1" customWidth="1"/>
    <col min="2815" max="2815" width="8.00390625" style="2" customWidth="1"/>
    <col min="2816" max="2816" width="9.7109375" style="2" customWidth="1"/>
    <col min="2817" max="2817" width="15.00390625" style="2" customWidth="1"/>
    <col min="2818" max="2818" width="15.57421875" style="2" customWidth="1"/>
    <col min="2819" max="2819" width="21.7109375" style="2" customWidth="1"/>
    <col min="2820" max="2821" width="8.140625" style="2" customWidth="1"/>
    <col min="2822" max="2822" width="18.00390625" style="2" customWidth="1"/>
    <col min="2823" max="2823" width="9.140625" style="2" customWidth="1"/>
    <col min="2824" max="2824" width="14.7109375" style="2" customWidth="1"/>
    <col min="2825" max="3065" width="9.140625" style="2" customWidth="1"/>
    <col min="3066" max="3066" width="0.71875" style="2" customWidth="1"/>
    <col min="3067" max="3067" width="4.57421875" style="2" customWidth="1"/>
    <col min="3068" max="3068" width="11.28125" style="2" customWidth="1"/>
    <col min="3069" max="3069" width="52.7109375" style="2" customWidth="1"/>
    <col min="3070" max="3070" width="3.57421875" style="2" bestFit="1" customWidth="1"/>
    <col min="3071" max="3071" width="8.00390625" style="2" customWidth="1"/>
    <col min="3072" max="3072" width="9.7109375" style="2" customWidth="1"/>
    <col min="3073" max="3073" width="15.00390625" style="2" customWidth="1"/>
    <col min="3074" max="3074" width="15.57421875" style="2" customWidth="1"/>
    <col min="3075" max="3075" width="21.7109375" style="2" customWidth="1"/>
    <col min="3076" max="3077" width="8.140625" style="2" customWidth="1"/>
    <col min="3078" max="3078" width="18.00390625" style="2" customWidth="1"/>
    <col min="3079" max="3079" width="9.140625" style="2" customWidth="1"/>
    <col min="3080" max="3080" width="14.7109375" style="2" customWidth="1"/>
    <col min="3081" max="3321" width="9.140625" style="2" customWidth="1"/>
    <col min="3322" max="3322" width="0.71875" style="2" customWidth="1"/>
    <col min="3323" max="3323" width="4.57421875" style="2" customWidth="1"/>
    <col min="3324" max="3324" width="11.28125" style="2" customWidth="1"/>
    <col min="3325" max="3325" width="52.7109375" style="2" customWidth="1"/>
    <col min="3326" max="3326" width="3.57421875" style="2" bestFit="1" customWidth="1"/>
    <col min="3327" max="3327" width="8.00390625" style="2" customWidth="1"/>
    <col min="3328" max="3328" width="9.7109375" style="2" customWidth="1"/>
    <col min="3329" max="3329" width="15.00390625" style="2" customWidth="1"/>
    <col min="3330" max="3330" width="15.57421875" style="2" customWidth="1"/>
    <col min="3331" max="3331" width="21.7109375" style="2" customWidth="1"/>
    <col min="3332" max="3333" width="8.140625" style="2" customWidth="1"/>
    <col min="3334" max="3334" width="18.00390625" style="2" customWidth="1"/>
    <col min="3335" max="3335" width="9.140625" style="2" customWidth="1"/>
    <col min="3336" max="3336" width="14.7109375" style="2" customWidth="1"/>
    <col min="3337" max="3577" width="9.140625" style="2" customWidth="1"/>
    <col min="3578" max="3578" width="0.71875" style="2" customWidth="1"/>
    <col min="3579" max="3579" width="4.57421875" style="2" customWidth="1"/>
    <col min="3580" max="3580" width="11.28125" style="2" customWidth="1"/>
    <col min="3581" max="3581" width="52.7109375" style="2" customWidth="1"/>
    <col min="3582" max="3582" width="3.57421875" style="2" bestFit="1" customWidth="1"/>
    <col min="3583" max="3583" width="8.00390625" style="2" customWidth="1"/>
    <col min="3584" max="3584" width="9.7109375" style="2" customWidth="1"/>
    <col min="3585" max="3585" width="15.00390625" style="2" customWidth="1"/>
    <col min="3586" max="3586" width="15.57421875" style="2" customWidth="1"/>
    <col min="3587" max="3587" width="21.7109375" style="2" customWidth="1"/>
    <col min="3588" max="3589" width="8.140625" style="2" customWidth="1"/>
    <col min="3590" max="3590" width="18.00390625" style="2" customWidth="1"/>
    <col min="3591" max="3591" width="9.140625" style="2" customWidth="1"/>
    <col min="3592" max="3592" width="14.7109375" style="2" customWidth="1"/>
    <col min="3593" max="3833" width="9.140625" style="2" customWidth="1"/>
    <col min="3834" max="3834" width="0.71875" style="2" customWidth="1"/>
    <col min="3835" max="3835" width="4.57421875" style="2" customWidth="1"/>
    <col min="3836" max="3836" width="11.28125" style="2" customWidth="1"/>
    <col min="3837" max="3837" width="52.7109375" style="2" customWidth="1"/>
    <col min="3838" max="3838" width="3.57421875" style="2" bestFit="1" customWidth="1"/>
    <col min="3839" max="3839" width="8.00390625" style="2" customWidth="1"/>
    <col min="3840" max="3840" width="9.7109375" style="2" customWidth="1"/>
    <col min="3841" max="3841" width="15.00390625" style="2" customWidth="1"/>
    <col min="3842" max="3842" width="15.57421875" style="2" customWidth="1"/>
    <col min="3843" max="3843" width="21.7109375" style="2" customWidth="1"/>
    <col min="3844" max="3845" width="8.140625" style="2" customWidth="1"/>
    <col min="3846" max="3846" width="18.00390625" style="2" customWidth="1"/>
    <col min="3847" max="3847" width="9.140625" style="2" customWidth="1"/>
    <col min="3848" max="3848" width="14.7109375" style="2" customWidth="1"/>
    <col min="3849" max="4089" width="9.140625" style="2" customWidth="1"/>
    <col min="4090" max="4090" width="0.71875" style="2" customWidth="1"/>
    <col min="4091" max="4091" width="4.57421875" style="2" customWidth="1"/>
    <col min="4092" max="4092" width="11.28125" style="2" customWidth="1"/>
    <col min="4093" max="4093" width="52.7109375" style="2" customWidth="1"/>
    <col min="4094" max="4094" width="3.57421875" style="2" bestFit="1" customWidth="1"/>
    <col min="4095" max="4095" width="8.00390625" style="2" customWidth="1"/>
    <col min="4096" max="4096" width="9.7109375" style="2" customWidth="1"/>
    <col min="4097" max="4097" width="15.00390625" style="2" customWidth="1"/>
    <col min="4098" max="4098" width="15.57421875" style="2" customWidth="1"/>
    <col min="4099" max="4099" width="21.7109375" style="2" customWidth="1"/>
    <col min="4100" max="4101" width="8.140625" style="2" customWidth="1"/>
    <col min="4102" max="4102" width="18.00390625" style="2" customWidth="1"/>
    <col min="4103" max="4103" width="9.140625" style="2" customWidth="1"/>
    <col min="4104" max="4104" width="14.7109375" style="2" customWidth="1"/>
    <col min="4105" max="4345" width="9.140625" style="2" customWidth="1"/>
    <col min="4346" max="4346" width="0.71875" style="2" customWidth="1"/>
    <col min="4347" max="4347" width="4.57421875" style="2" customWidth="1"/>
    <col min="4348" max="4348" width="11.28125" style="2" customWidth="1"/>
    <col min="4349" max="4349" width="52.7109375" style="2" customWidth="1"/>
    <col min="4350" max="4350" width="3.57421875" style="2" bestFit="1" customWidth="1"/>
    <col min="4351" max="4351" width="8.00390625" style="2" customWidth="1"/>
    <col min="4352" max="4352" width="9.7109375" style="2" customWidth="1"/>
    <col min="4353" max="4353" width="15.00390625" style="2" customWidth="1"/>
    <col min="4354" max="4354" width="15.57421875" style="2" customWidth="1"/>
    <col min="4355" max="4355" width="21.7109375" style="2" customWidth="1"/>
    <col min="4356" max="4357" width="8.140625" style="2" customWidth="1"/>
    <col min="4358" max="4358" width="18.00390625" style="2" customWidth="1"/>
    <col min="4359" max="4359" width="9.140625" style="2" customWidth="1"/>
    <col min="4360" max="4360" width="14.7109375" style="2" customWidth="1"/>
    <col min="4361" max="4601" width="9.140625" style="2" customWidth="1"/>
    <col min="4602" max="4602" width="0.71875" style="2" customWidth="1"/>
    <col min="4603" max="4603" width="4.57421875" style="2" customWidth="1"/>
    <col min="4604" max="4604" width="11.28125" style="2" customWidth="1"/>
    <col min="4605" max="4605" width="52.7109375" style="2" customWidth="1"/>
    <col min="4606" max="4606" width="3.57421875" style="2" bestFit="1" customWidth="1"/>
    <col min="4607" max="4607" width="8.00390625" style="2" customWidth="1"/>
    <col min="4608" max="4608" width="9.7109375" style="2" customWidth="1"/>
    <col min="4609" max="4609" width="15.00390625" style="2" customWidth="1"/>
    <col min="4610" max="4610" width="15.57421875" style="2" customWidth="1"/>
    <col min="4611" max="4611" width="21.7109375" style="2" customWidth="1"/>
    <col min="4612" max="4613" width="8.140625" style="2" customWidth="1"/>
    <col min="4614" max="4614" width="18.00390625" style="2" customWidth="1"/>
    <col min="4615" max="4615" width="9.140625" style="2" customWidth="1"/>
    <col min="4616" max="4616" width="14.7109375" style="2" customWidth="1"/>
    <col min="4617" max="4857" width="9.140625" style="2" customWidth="1"/>
    <col min="4858" max="4858" width="0.71875" style="2" customWidth="1"/>
    <col min="4859" max="4859" width="4.57421875" style="2" customWidth="1"/>
    <col min="4860" max="4860" width="11.28125" style="2" customWidth="1"/>
    <col min="4861" max="4861" width="52.7109375" style="2" customWidth="1"/>
    <col min="4862" max="4862" width="3.57421875" style="2" bestFit="1" customWidth="1"/>
    <col min="4863" max="4863" width="8.00390625" style="2" customWidth="1"/>
    <col min="4864" max="4864" width="9.7109375" style="2" customWidth="1"/>
    <col min="4865" max="4865" width="15.00390625" style="2" customWidth="1"/>
    <col min="4866" max="4866" width="15.57421875" style="2" customWidth="1"/>
    <col min="4867" max="4867" width="21.7109375" style="2" customWidth="1"/>
    <col min="4868" max="4869" width="8.140625" style="2" customWidth="1"/>
    <col min="4870" max="4870" width="18.00390625" style="2" customWidth="1"/>
    <col min="4871" max="4871" width="9.140625" style="2" customWidth="1"/>
    <col min="4872" max="4872" width="14.7109375" style="2" customWidth="1"/>
    <col min="4873" max="5113" width="9.140625" style="2" customWidth="1"/>
    <col min="5114" max="5114" width="0.71875" style="2" customWidth="1"/>
    <col min="5115" max="5115" width="4.57421875" style="2" customWidth="1"/>
    <col min="5116" max="5116" width="11.28125" style="2" customWidth="1"/>
    <col min="5117" max="5117" width="52.7109375" style="2" customWidth="1"/>
    <col min="5118" max="5118" width="3.57421875" style="2" bestFit="1" customWidth="1"/>
    <col min="5119" max="5119" width="8.00390625" style="2" customWidth="1"/>
    <col min="5120" max="5120" width="9.7109375" style="2" customWidth="1"/>
    <col min="5121" max="5121" width="15.00390625" style="2" customWidth="1"/>
    <col min="5122" max="5122" width="15.57421875" style="2" customWidth="1"/>
    <col min="5123" max="5123" width="21.7109375" style="2" customWidth="1"/>
    <col min="5124" max="5125" width="8.140625" style="2" customWidth="1"/>
    <col min="5126" max="5126" width="18.00390625" style="2" customWidth="1"/>
    <col min="5127" max="5127" width="9.140625" style="2" customWidth="1"/>
    <col min="5128" max="5128" width="14.7109375" style="2" customWidth="1"/>
    <col min="5129" max="5369" width="9.140625" style="2" customWidth="1"/>
    <col min="5370" max="5370" width="0.71875" style="2" customWidth="1"/>
    <col min="5371" max="5371" width="4.57421875" style="2" customWidth="1"/>
    <col min="5372" max="5372" width="11.28125" style="2" customWidth="1"/>
    <col min="5373" max="5373" width="52.7109375" style="2" customWidth="1"/>
    <col min="5374" max="5374" width="3.57421875" style="2" bestFit="1" customWidth="1"/>
    <col min="5375" max="5375" width="8.00390625" style="2" customWidth="1"/>
    <col min="5376" max="5376" width="9.7109375" style="2" customWidth="1"/>
    <col min="5377" max="5377" width="15.00390625" style="2" customWidth="1"/>
    <col min="5378" max="5378" width="15.57421875" style="2" customWidth="1"/>
    <col min="5379" max="5379" width="21.7109375" style="2" customWidth="1"/>
    <col min="5380" max="5381" width="8.140625" style="2" customWidth="1"/>
    <col min="5382" max="5382" width="18.00390625" style="2" customWidth="1"/>
    <col min="5383" max="5383" width="9.140625" style="2" customWidth="1"/>
    <col min="5384" max="5384" width="14.7109375" style="2" customWidth="1"/>
    <col min="5385" max="5625" width="9.140625" style="2" customWidth="1"/>
    <col min="5626" max="5626" width="0.71875" style="2" customWidth="1"/>
    <col min="5627" max="5627" width="4.57421875" style="2" customWidth="1"/>
    <col min="5628" max="5628" width="11.28125" style="2" customWidth="1"/>
    <col min="5629" max="5629" width="52.7109375" style="2" customWidth="1"/>
    <col min="5630" max="5630" width="3.57421875" style="2" bestFit="1" customWidth="1"/>
    <col min="5631" max="5631" width="8.00390625" style="2" customWidth="1"/>
    <col min="5632" max="5632" width="9.7109375" style="2" customWidth="1"/>
    <col min="5633" max="5633" width="15.00390625" style="2" customWidth="1"/>
    <col min="5634" max="5634" width="15.57421875" style="2" customWidth="1"/>
    <col min="5635" max="5635" width="21.7109375" style="2" customWidth="1"/>
    <col min="5636" max="5637" width="8.140625" style="2" customWidth="1"/>
    <col min="5638" max="5638" width="18.00390625" style="2" customWidth="1"/>
    <col min="5639" max="5639" width="9.140625" style="2" customWidth="1"/>
    <col min="5640" max="5640" width="14.7109375" style="2" customWidth="1"/>
    <col min="5641" max="5881" width="9.140625" style="2" customWidth="1"/>
    <col min="5882" max="5882" width="0.71875" style="2" customWidth="1"/>
    <col min="5883" max="5883" width="4.57421875" style="2" customWidth="1"/>
    <col min="5884" max="5884" width="11.28125" style="2" customWidth="1"/>
    <col min="5885" max="5885" width="52.7109375" style="2" customWidth="1"/>
    <col min="5886" max="5886" width="3.57421875" style="2" bestFit="1" customWidth="1"/>
    <col min="5887" max="5887" width="8.00390625" style="2" customWidth="1"/>
    <col min="5888" max="5888" width="9.7109375" style="2" customWidth="1"/>
    <col min="5889" max="5889" width="15.00390625" style="2" customWidth="1"/>
    <col min="5890" max="5890" width="15.57421875" style="2" customWidth="1"/>
    <col min="5891" max="5891" width="21.7109375" style="2" customWidth="1"/>
    <col min="5892" max="5893" width="8.140625" style="2" customWidth="1"/>
    <col min="5894" max="5894" width="18.00390625" style="2" customWidth="1"/>
    <col min="5895" max="5895" width="9.140625" style="2" customWidth="1"/>
    <col min="5896" max="5896" width="14.7109375" style="2" customWidth="1"/>
    <col min="5897" max="6137" width="9.140625" style="2" customWidth="1"/>
    <col min="6138" max="6138" width="0.71875" style="2" customWidth="1"/>
    <col min="6139" max="6139" width="4.57421875" style="2" customWidth="1"/>
    <col min="6140" max="6140" width="11.28125" style="2" customWidth="1"/>
    <col min="6141" max="6141" width="52.7109375" style="2" customWidth="1"/>
    <col min="6142" max="6142" width="3.57421875" style="2" bestFit="1" customWidth="1"/>
    <col min="6143" max="6143" width="8.00390625" style="2" customWidth="1"/>
    <col min="6144" max="6144" width="9.7109375" style="2" customWidth="1"/>
    <col min="6145" max="6145" width="15.00390625" style="2" customWidth="1"/>
    <col min="6146" max="6146" width="15.57421875" style="2" customWidth="1"/>
    <col min="6147" max="6147" width="21.7109375" style="2" customWidth="1"/>
    <col min="6148" max="6149" width="8.140625" style="2" customWidth="1"/>
    <col min="6150" max="6150" width="18.00390625" style="2" customWidth="1"/>
    <col min="6151" max="6151" width="9.140625" style="2" customWidth="1"/>
    <col min="6152" max="6152" width="14.7109375" style="2" customWidth="1"/>
    <col min="6153" max="6393" width="9.140625" style="2" customWidth="1"/>
    <col min="6394" max="6394" width="0.71875" style="2" customWidth="1"/>
    <col min="6395" max="6395" width="4.57421875" style="2" customWidth="1"/>
    <col min="6396" max="6396" width="11.28125" style="2" customWidth="1"/>
    <col min="6397" max="6397" width="52.7109375" style="2" customWidth="1"/>
    <col min="6398" max="6398" width="3.57421875" style="2" bestFit="1" customWidth="1"/>
    <col min="6399" max="6399" width="8.00390625" style="2" customWidth="1"/>
    <col min="6400" max="6400" width="9.7109375" style="2" customWidth="1"/>
    <col min="6401" max="6401" width="15.00390625" style="2" customWidth="1"/>
    <col min="6402" max="6402" width="15.57421875" style="2" customWidth="1"/>
    <col min="6403" max="6403" width="21.7109375" style="2" customWidth="1"/>
    <col min="6404" max="6405" width="8.140625" style="2" customWidth="1"/>
    <col min="6406" max="6406" width="18.00390625" style="2" customWidth="1"/>
    <col min="6407" max="6407" width="9.140625" style="2" customWidth="1"/>
    <col min="6408" max="6408" width="14.7109375" style="2" customWidth="1"/>
    <col min="6409" max="6649" width="9.140625" style="2" customWidth="1"/>
    <col min="6650" max="6650" width="0.71875" style="2" customWidth="1"/>
    <col min="6651" max="6651" width="4.57421875" style="2" customWidth="1"/>
    <col min="6652" max="6652" width="11.28125" style="2" customWidth="1"/>
    <col min="6653" max="6653" width="52.7109375" style="2" customWidth="1"/>
    <col min="6654" max="6654" width="3.57421875" style="2" bestFit="1" customWidth="1"/>
    <col min="6655" max="6655" width="8.00390625" style="2" customWidth="1"/>
    <col min="6656" max="6656" width="9.7109375" style="2" customWidth="1"/>
    <col min="6657" max="6657" width="15.00390625" style="2" customWidth="1"/>
    <col min="6658" max="6658" width="15.57421875" style="2" customWidth="1"/>
    <col min="6659" max="6659" width="21.7109375" style="2" customWidth="1"/>
    <col min="6660" max="6661" width="8.140625" style="2" customWidth="1"/>
    <col min="6662" max="6662" width="18.00390625" style="2" customWidth="1"/>
    <col min="6663" max="6663" width="9.140625" style="2" customWidth="1"/>
    <col min="6664" max="6664" width="14.7109375" style="2" customWidth="1"/>
    <col min="6665" max="6905" width="9.140625" style="2" customWidth="1"/>
    <col min="6906" max="6906" width="0.71875" style="2" customWidth="1"/>
    <col min="6907" max="6907" width="4.57421875" style="2" customWidth="1"/>
    <col min="6908" max="6908" width="11.28125" style="2" customWidth="1"/>
    <col min="6909" max="6909" width="52.7109375" style="2" customWidth="1"/>
    <col min="6910" max="6910" width="3.57421875" style="2" bestFit="1" customWidth="1"/>
    <col min="6911" max="6911" width="8.00390625" style="2" customWidth="1"/>
    <col min="6912" max="6912" width="9.7109375" style="2" customWidth="1"/>
    <col min="6913" max="6913" width="15.00390625" style="2" customWidth="1"/>
    <col min="6914" max="6914" width="15.57421875" style="2" customWidth="1"/>
    <col min="6915" max="6915" width="21.7109375" style="2" customWidth="1"/>
    <col min="6916" max="6917" width="8.140625" style="2" customWidth="1"/>
    <col min="6918" max="6918" width="18.00390625" style="2" customWidth="1"/>
    <col min="6919" max="6919" width="9.140625" style="2" customWidth="1"/>
    <col min="6920" max="6920" width="14.7109375" style="2" customWidth="1"/>
    <col min="6921" max="7161" width="9.140625" style="2" customWidth="1"/>
    <col min="7162" max="7162" width="0.71875" style="2" customWidth="1"/>
    <col min="7163" max="7163" width="4.57421875" style="2" customWidth="1"/>
    <col min="7164" max="7164" width="11.28125" style="2" customWidth="1"/>
    <col min="7165" max="7165" width="52.7109375" style="2" customWidth="1"/>
    <col min="7166" max="7166" width="3.57421875" style="2" bestFit="1" customWidth="1"/>
    <col min="7167" max="7167" width="8.00390625" style="2" customWidth="1"/>
    <col min="7168" max="7168" width="9.7109375" style="2" customWidth="1"/>
    <col min="7169" max="7169" width="15.00390625" style="2" customWidth="1"/>
    <col min="7170" max="7170" width="15.57421875" style="2" customWidth="1"/>
    <col min="7171" max="7171" width="21.7109375" style="2" customWidth="1"/>
    <col min="7172" max="7173" width="8.140625" style="2" customWidth="1"/>
    <col min="7174" max="7174" width="18.00390625" style="2" customWidth="1"/>
    <col min="7175" max="7175" width="9.140625" style="2" customWidth="1"/>
    <col min="7176" max="7176" width="14.7109375" style="2" customWidth="1"/>
    <col min="7177" max="7417" width="9.140625" style="2" customWidth="1"/>
    <col min="7418" max="7418" width="0.71875" style="2" customWidth="1"/>
    <col min="7419" max="7419" width="4.57421875" style="2" customWidth="1"/>
    <col min="7420" max="7420" width="11.28125" style="2" customWidth="1"/>
    <col min="7421" max="7421" width="52.7109375" style="2" customWidth="1"/>
    <col min="7422" max="7422" width="3.57421875" style="2" bestFit="1" customWidth="1"/>
    <col min="7423" max="7423" width="8.00390625" style="2" customWidth="1"/>
    <col min="7424" max="7424" width="9.7109375" style="2" customWidth="1"/>
    <col min="7425" max="7425" width="15.00390625" style="2" customWidth="1"/>
    <col min="7426" max="7426" width="15.57421875" style="2" customWidth="1"/>
    <col min="7427" max="7427" width="21.7109375" style="2" customWidth="1"/>
    <col min="7428" max="7429" width="8.140625" style="2" customWidth="1"/>
    <col min="7430" max="7430" width="18.00390625" style="2" customWidth="1"/>
    <col min="7431" max="7431" width="9.140625" style="2" customWidth="1"/>
    <col min="7432" max="7432" width="14.7109375" style="2" customWidth="1"/>
    <col min="7433" max="7673" width="9.140625" style="2" customWidth="1"/>
    <col min="7674" max="7674" width="0.71875" style="2" customWidth="1"/>
    <col min="7675" max="7675" width="4.57421875" style="2" customWidth="1"/>
    <col min="7676" max="7676" width="11.28125" style="2" customWidth="1"/>
    <col min="7677" max="7677" width="52.7109375" style="2" customWidth="1"/>
    <col min="7678" max="7678" width="3.57421875" style="2" bestFit="1" customWidth="1"/>
    <col min="7679" max="7679" width="8.00390625" style="2" customWidth="1"/>
    <col min="7680" max="7680" width="9.7109375" style="2" customWidth="1"/>
    <col min="7681" max="7681" width="15.00390625" style="2" customWidth="1"/>
    <col min="7682" max="7682" width="15.57421875" style="2" customWidth="1"/>
    <col min="7683" max="7683" width="21.7109375" style="2" customWidth="1"/>
    <col min="7684" max="7685" width="8.140625" style="2" customWidth="1"/>
    <col min="7686" max="7686" width="18.00390625" style="2" customWidth="1"/>
    <col min="7687" max="7687" width="9.140625" style="2" customWidth="1"/>
    <col min="7688" max="7688" width="14.7109375" style="2" customWidth="1"/>
    <col min="7689" max="7929" width="9.140625" style="2" customWidth="1"/>
    <col min="7930" max="7930" width="0.71875" style="2" customWidth="1"/>
    <col min="7931" max="7931" width="4.57421875" style="2" customWidth="1"/>
    <col min="7932" max="7932" width="11.28125" style="2" customWidth="1"/>
    <col min="7933" max="7933" width="52.7109375" style="2" customWidth="1"/>
    <col min="7934" max="7934" width="3.57421875" style="2" bestFit="1" customWidth="1"/>
    <col min="7935" max="7935" width="8.00390625" style="2" customWidth="1"/>
    <col min="7936" max="7936" width="9.7109375" style="2" customWidth="1"/>
    <col min="7937" max="7937" width="15.00390625" style="2" customWidth="1"/>
    <col min="7938" max="7938" width="15.57421875" style="2" customWidth="1"/>
    <col min="7939" max="7939" width="21.7109375" style="2" customWidth="1"/>
    <col min="7940" max="7941" width="8.140625" style="2" customWidth="1"/>
    <col min="7942" max="7942" width="18.00390625" style="2" customWidth="1"/>
    <col min="7943" max="7943" width="9.140625" style="2" customWidth="1"/>
    <col min="7944" max="7944" width="14.7109375" style="2" customWidth="1"/>
    <col min="7945" max="8185" width="9.140625" style="2" customWidth="1"/>
    <col min="8186" max="8186" width="0.71875" style="2" customWidth="1"/>
    <col min="8187" max="8187" width="4.57421875" style="2" customWidth="1"/>
    <col min="8188" max="8188" width="11.28125" style="2" customWidth="1"/>
    <col min="8189" max="8189" width="52.7109375" style="2" customWidth="1"/>
    <col min="8190" max="8190" width="3.57421875" style="2" bestFit="1" customWidth="1"/>
    <col min="8191" max="8191" width="8.00390625" style="2" customWidth="1"/>
    <col min="8192" max="8192" width="9.7109375" style="2" customWidth="1"/>
    <col min="8193" max="8193" width="15.00390625" style="2" customWidth="1"/>
    <col min="8194" max="8194" width="15.57421875" style="2" customWidth="1"/>
    <col min="8195" max="8195" width="21.7109375" style="2" customWidth="1"/>
    <col min="8196" max="8197" width="8.140625" style="2" customWidth="1"/>
    <col min="8198" max="8198" width="18.00390625" style="2" customWidth="1"/>
    <col min="8199" max="8199" width="9.140625" style="2" customWidth="1"/>
    <col min="8200" max="8200" width="14.7109375" style="2" customWidth="1"/>
    <col min="8201" max="8441" width="9.140625" style="2" customWidth="1"/>
    <col min="8442" max="8442" width="0.71875" style="2" customWidth="1"/>
    <col min="8443" max="8443" width="4.57421875" style="2" customWidth="1"/>
    <col min="8444" max="8444" width="11.28125" style="2" customWidth="1"/>
    <col min="8445" max="8445" width="52.7109375" style="2" customWidth="1"/>
    <col min="8446" max="8446" width="3.57421875" style="2" bestFit="1" customWidth="1"/>
    <col min="8447" max="8447" width="8.00390625" style="2" customWidth="1"/>
    <col min="8448" max="8448" width="9.7109375" style="2" customWidth="1"/>
    <col min="8449" max="8449" width="15.00390625" style="2" customWidth="1"/>
    <col min="8450" max="8450" width="15.57421875" style="2" customWidth="1"/>
    <col min="8451" max="8451" width="21.7109375" style="2" customWidth="1"/>
    <col min="8452" max="8453" width="8.140625" style="2" customWidth="1"/>
    <col min="8454" max="8454" width="18.00390625" style="2" customWidth="1"/>
    <col min="8455" max="8455" width="9.140625" style="2" customWidth="1"/>
    <col min="8456" max="8456" width="14.7109375" style="2" customWidth="1"/>
    <col min="8457" max="8697" width="9.140625" style="2" customWidth="1"/>
    <col min="8698" max="8698" width="0.71875" style="2" customWidth="1"/>
    <col min="8699" max="8699" width="4.57421875" style="2" customWidth="1"/>
    <col min="8700" max="8700" width="11.28125" style="2" customWidth="1"/>
    <col min="8701" max="8701" width="52.7109375" style="2" customWidth="1"/>
    <col min="8702" max="8702" width="3.57421875" style="2" bestFit="1" customWidth="1"/>
    <col min="8703" max="8703" width="8.00390625" style="2" customWidth="1"/>
    <col min="8704" max="8704" width="9.7109375" style="2" customWidth="1"/>
    <col min="8705" max="8705" width="15.00390625" style="2" customWidth="1"/>
    <col min="8706" max="8706" width="15.57421875" style="2" customWidth="1"/>
    <col min="8707" max="8707" width="21.7109375" style="2" customWidth="1"/>
    <col min="8708" max="8709" width="8.140625" style="2" customWidth="1"/>
    <col min="8710" max="8710" width="18.00390625" style="2" customWidth="1"/>
    <col min="8711" max="8711" width="9.140625" style="2" customWidth="1"/>
    <col min="8712" max="8712" width="14.7109375" style="2" customWidth="1"/>
    <col min="8713" max="8953" width="9.140625" style="2" customWidth="1"/>
    <col min="8954" max="8954" width="0.71875" style="2" customWidth="1"/>
    <col min="8955" max="8955" width="4.57421875" style="2" customWidth="1"/>
    <col min="8956" max="8956" width="11.28125" style="2" customWidth="1"/>
    <col min="8957" max="8957" width="52.7109375" style="2" customWidth="1"/>
    <col min="8958" max="8958" width="3.57421875" style="2" bestFit="1" customWidth="1"/>
    <col min="8959" max="8959" width="8.00390625" style="2" customWidth="1"/>
    <col min="8960" max="8960" width="9.7109375" style="2" customWidth="1"/>
    <col min="8961" max="8961" width="15.00390625" style="2" customWidth="1"/>
    <col min="8962" max="8962" width="15.57421875" style="2" customWidth="1"/>
    <col min="8963" max="8963" width="21.7109375" style="2" customWidth="1"/>
    <col min="8964" max="8965" width="8.140625" style="2" customWidth="1"/>
    <col min="8966" max="8966" width="18.00390625" style="2" customWidth="1"/>
    <col min="8967" max="8967" width="9.140625" style="2" customWidth="1"/>
    <col min="8968" max="8968" width="14.7109375" style="2" customWidth="1"/>
    <col min="8969" max="9209" width="9.140625" style="2" customWidth="1"/>
    <col min="9210" max="9210" width="0.71875" style="2" customWidth="1"/>
    <col min="9211" max="9211" width="4.57421875" style="2" customWidth="1"/>
    <col min="9212" max="9212" width="11.28125" style="2" customWidth="1"/>
    <col min="9213" max="9213" width="52.7109375" style="2" customWidth="1"/>
    <col min="9214" max="9214" width="3.57421875" style="2" bestFit="1" customWidth="1"/>
    <col min="9215" max="9215" width="8.00390625" style="2" customWidth="1"/>
    <col min="9216" max="9216" width="9.7109375" style="2" customWidth="1"/>
    <col min="9217" max="9217" width="15.00390625" style="2" customWidth="1"/>
    <col min="9218" max="9218" width="15.57421875" style="2" customWidth="1"/>
    <col min="9219" max="9219" width="21.7109375" style="2" customWidth="1"/>
    <col min="9220" max="9221" width="8.140625" style="2" customWidth="1"/>
    <col min="9222" max="9222" width="18.00390625" style="2" customWidth="1"/>
    <col min="9223" max="9223" width="9.140625" style="2" customWidth="1"/>
    <col min="9224" max="9224" width="14.7109375" style="2" customWidth="1"/>
    <col min="9225" max="9465" width="9.140625" style="2" customWidth="1"/>
    <col min="9466" max="9466" width="0.71875" style="2" customWidth="1"/>
    <col min="9467" max="9467" width="4.57421875" style="2" customWidth="1"/>
    <col min="9468" max="9468" width="11.28125" style="2" customWidth="1"/>
    <col min="9469" max="9469" width="52.7109375" style="2" customWidth="1"/>
    <col min="9470" max="9470" width="3.57421875" style="2" bestFit="1" customWidth="1"/>
    <col min="9471" max="9471" width="8.00390625" style="2" customWidth="1"/>
    <col min="9472" max="9472" width="9.7109375" style="2" customWidth="1"/>
    <col min="9473" max="9473" width="15.00390625" style="2" customWidth="1"/>
    <col min="9474" max="9474" width="15.57421875" style="2" customWidth="1"/>
    <col min="9475" max="9475" width="21.7109375" style="2" customWidth="1"/>
    <col min="9476" max="9477" width="8.140625" style="2" customWidth="1"/>
    <col min="9478" max="9478" width="18.00390625" style="2" customWidth="1"/>
    <col min="9479" max="9479" width="9.140625" style="2" customWidth="1"/>
    <col min="9480" max="9480" width="14.7109375" style="2" customWidth="1"/>
    <col min="9481" max="9721" width="9.140625" style="2" customWidth="1"/>
    <col min="9722" max="9722" width="0.71875" style="2" customWidth="1"/>
    <col min="9723" max="9723" width="4.57421875" style="2" customWidth="1"/>
    <col min="9724" max="9724" width="11.28125" style="2" customWidth="1"/>
    <col min="9725" max="9725" width="52.7109375" style="2" customWidth="1"/>
    <col min="9726" max="9726" width="3.57421875" style="2" bestFit="1" customWidth="1"/>
    <col min="9727" max="9727" width="8.00390625" style="2" customWidth="1"/>
    <col min="9728" max="9728" width="9.7109375" style="2" customWidth="1"/>
    <col min="9729" max="9729" width="15.00390625" style="2" customWidth="1"/>
    <col min="9730" max="9730" width="15.57421875" style="2" customWidth="1"/>
    <col min="9731" max="9731" width="21.7109375" style="2" customWidth="1"/>
    <col min="9732" max="9733" width="8.140625" style="2" customWidth="1"/>
    <col min="9734" max="9734" width="18.00390625" style="2" customWidth="1"/>
    <col min="9735" max="9735" width="9.140625" style="2" customWidth="1"/>
    <col min="9736" max="9736" width="14.7109375" style="2" customWidth="1"/>
    <col min="9737" max="9977" width="9.140625" style="2" customWidth="1"/>
    <col min="9978" max="9978" width="0.71875" style="2" customWidth="1"/>
    <col min="9979" max="9979" width="4.57421875" style="2" customWidth="1"/>
    <col min="9980" max="9980" width="11.28125" style="2" customWidth="1"/>
    <col min="9981" max="9981" width="52.7109375" style="2" customWidth="1"/>
    <col min="9982" max="9982" width="3.57421875" style="2" bestFit="1" customWidth="1"/>
    <col min="9983" max="9983" width="8.00390625" style="2" customWidth="1"/>
    <col min="9984" max="9984" width="9.7109375" style="2" customWidth="1"/>
    <col min="9985" max="9985" width="15.00390625" style="2" customWidth="1"/>
    <col min="9986" max="9986" width="15.57421875" style="2" customWidth="1"/>
    <col min="9987" max="9987" width="21.7109375" style="2" customWidth="1"/>
    <col min="9988" max="9989" width="8.140625" style="2" customWidth="1"/>
    <col min="9990" max="9990" width="18.00390625" style="2" customWidth="1"/>
    <col min="9991" max="9991" width="9.140625" style="2" customWidth="1"/>
    <col min="9992" max="9992" width="14.7109375" style="2" customWidth="1"/>
    <col min="9993" max="10233" width="9.140625" style="2" customWidth="1"/>
    <col min="10234" max="10234" width="0.71875" style="2" customWidth="1"/>
    <col min="10235" max="10235" width="4.57421875" style="2" customWidth="1"/>
    <col min="10236" max="10236" width="11.28125" style="2" customWidth="1"/>
    <col min="10237" max="10237" width="52.7109375" style="2" customWidth="1"/>
    <col min="10238" max="10238" width="3.57421875" style="2" bestFit="1" customWidth="1"/>
    <col min="10239" max="10239" width="8.00390625" style="2" customWidth="1"/>
    <col min="10240" max="10240" width="9.7109375" style="2" customWidth="1"/>
    <col min="10241" max="10241" width="15.00390625" style="2" customWidth="1"/>
    <col min="10242" max="10242" width="15.57421875" style="2" customWidth="1"/>
    <col min="10243" max="10243" width="21.7109375" style="2" customWidth="1"/>
    <col min="10244" max="10245" width="8.140625" style="2" customWidth="1"/>
    <col min="10246" max="10246" width="18.00390625" style="2" customWidth="1"/>
    <col min="10247" max="10247" width="9.140625" style="2" customWidth="1"/>
    <col min="10248" max="10248" width="14.7109375" style="2" customWidth="1"/>
    <col min="10249" max="10489" width="9.140625" style="2" customWidth="1"/>
    <col min="10490" max="10490" width="0.71875" style="2" customWidth="1"/>
    <col min="10491" max="10491" width="4.57421875" style="2" customWidth="1"/>
    <col min="10492" max="10492" width="11.28125" style="2" customWidth="1"/>
    <col min="10493" max="10493" width="52.7109375" style="2" customWidth="1"/>
    <col min="10494" max="10494" width="3.57421875" style="2" bestFit="1" customWidth="1"/>
    <col min="10495" max="10495" width="8.00390625" style="2" customWidth="1"/>
    <col min="10496" max="10496" width="9.7109375" style="2" customWidth="1"/>
    <col min="10497" max="10497" width="15.00390625" style="2" customWidth="1"/>
    <col min="10498" max="10498" width="15.57421875" style="2" customWidth="1"/>
    <col min="10499" max="10499" width="21.7109375" style="2" customWidth="1"/>
    <col min="10500" max="10501" width="8.140625" style="2" customWidth="1"/>
    <col min="10502" max="10502" width="18.00390625" style="2" customWidth="1"/>
    <col min="10503" max="10503" width="9.140625" style="2" customWidth="1"/>
    <col min="10504" max="10504" width="14.7109375" style="2" customWidth="1"/>
    <col min="10505" max="10745" width="9.140625" style="2" customWidth="1"/>
    <col min="10746" max="10746" width="0.71875" style="2" customWidth="1"/>
    <col min="10747" max="10747" width="4.57421875" style="2" customWidth="1"/>
    <col min="10748" max="10748" width="11.28125" style="2" customWidth="1"/>
    <col min="10749" max="10749" width="52.7109375" style="2" customWidth="1"/>
    <col min="10750" max="10750" width="3.57421875" style="2" bestFit="1" customWidth="1"/>
    <col min="10751" max="10751" width="8.00390625" style="2" customWidth="1"/>
    <col min="10752" max="10752" width="9.7109375" style="2" customWidth="1"/>
    <col min="10753" max="10753" width="15.00390625" style="2" customWidth="1"/>
    <col min="10754" max="10754" width="15.57421875" style="2" customWidth="1"/>
    <col min="10755" max="10755" width="21.7109375" style="2" customWidth="1"/>
    <col min="10756" max="10757" width="8.140625" style="2" customWidth="1"/>
    <col min="10758" max="10758" width="18.00390625" style="2" customWidth="1"/>
    <col min="10759" max="10759" width="9.140625" style="2" customWidth="1"/>
    <col min="10760" max="10760" width="14.7109375" style="2" customWidth="1"/>
    <col min="10761" max="11001" width="9.140625" style="2" customWidth="1"/>
    <col min="11002" max="11002" width="0.71875" style="2" customWidth="1"/>
    <col min="11003" max="11003" width="4.57421875" style="2" customWidth="1"/>
    <col min="11004" max="11004" width="11.28125" style="2" customWidth="1"/>
    <col min="11005" max="11005" width="52.7109375" style="2" customWidth="1"/>
    <col min="11006" max="11006" width="3.57421875" style="2" bestFit="1" customWidth="1"/>
    <col min="11007" max="11007" width="8.00390625" style="2" customWidth="1"/>
    <col min="11008" max="11008" width="9.7109375" style="2" customWidth="1"/>
    <col min="11009" max="11009" width="15.00390625" style="2" customWidth="1"/>
    <col min="11010" max="11010" width="15.57421875" style="2" customWidth="1"/>
    <col min="11011" max="11011" width="21.7109375" style="2" customWidth="1"/>
    <col min="11012" max="11013" width="8.140625" style="2" customWidth="1"/>
    <col min="11014" max="11014" width="18.00390625" style="2" customWidth="1"/>
    <col min="11015" max="11015" width="9.140625" style="2" customWidth="1"/>
    <col min="11016" max="11016" width="14.7109375" style="2" customWidth="1"/>
    <col min="11017" max="11257" width="9.140625" style="2" customWidth="1"/>
    <col min="11258" max="11258" width="0.71875" style="2" customWidth="1"/>
    <col min="11259" max="11259" width="4.57421875" style="2" customWidth="1"/>
    <col min="11260" max="11260" width="11.28125" style="2" customWidth="1"/>
    <col min="11261" max="11261" width="52.7109375" style="2" customWidth="1"/>
    <col min="11262" max="11262" width="3.57421875" style="2" bestFit="1" customWidth="1"/>
    <col min="11263" max="11263" width="8.00390625" style="2" customWidth="1"/>
    <col min="11264" max="11264" width="9.7109375" style="2" customWidth="1"/>
    <col min="11265" max="11265" width="15.00390625" style="2" customWidth="1"/>
    <col min="11266" max="11266" width="15.57421875" style="2" customWidth="1"/>
    <col min="11267" max="11267" width="21.7109375" style="2" customWidth="1"/>
    <col min="11268" max="11269" width="8.140625" style="2" customWidth="1"/>
    <col min="11270" max="11270" width="18.00390625" style="2" customWidth="1"/>
    <col min="11271" max="11271" width="9.140625" style="2" customWidth="1"/>
    <col min="11272" max="11272" width="14.7109375" style="2" customWidth="1"/>
    <col min="11273" max="11513" width="9.140625" style="2" customWidth="1"/>
    <col min="11514" max="11514" width="0.71875" style="2" customWidth="1"/>
    <col min="11515" max="11515" width="4.57421875" style="2" customWidth="1"/>
    <col min="11516" max="11516" width="11.28125" style="2" customWidth="1"/>
    <col min="11517" max="11517" width="52.7109375" style="2" customWidth="1"/>
    <col min="11518" max="11518" width="3.57421875" style="2" bestFit="1" customWidth="1"/>
    <col min="11519" max="11519" width="8.00390625" style="2" customWidth="1"/>
    <col min="11520" max="11520" width="9.7109375" style="2" customWidth="1"/>
    <col min="11521" max="11521" width="15.00390625" style="2" customWidth="1"/>
    <col min="11522" max="11522" width="15.57421875" style="2" customWidth="1"/>
    <col min="11523" max="11523" width="21.7109375" style="2" customWidth="1"/>
    <col min="11524" max="11525" width="8.140625" style="2" customWidth="1"/>
    <col min="11526" max="11526" width="18.00390625" style="2" customWidth="1"/>
    <col min="11527" max="11527" width="9.140625" style="2" customWidth="1"/>
    <col min="11528" max="11528" width="14.7109375" style="2" customWidth="1"/>
    <col min="11529" max="11769" width="9.140625" style="2" customWidth="1"/>
    <col min="11770" max="11770" width="0.71875" style="2" customWidth="1"/>
    <col min="11771" max="11771" width="4.57421875" style="2" customWidth="1"/>
    <col min="11772" max="11772" width="11.28125" style="2" customWidth="1"/>
    <col min="11773" max="11773" width="52.7109375" style="2" customWidth="1"/>
    <col min="11774" max="11774" width="3.57421875" style="2" bestFit="1" customWidth="1"/>
    <col min="11775" max="11775" width="8.00390625" style="2" customWidth="1"/>
    <col min="11776" max="11776" width="9.7109375" style="2" customWidth="1"/>
    <col min="11777" max="11777" width="15.00390625" style="2" customWidth="1"/>
    <col min="11778" max="11778" width="15.57421875" style="2" customWidth="1"/>
    <col min="11779" max="11779" width="21.7109375" style="2" customWidth="1"/>
    <col min="11780" max="11781" width="8.140625" style="2" customWidth="1"/>
    <col min="11782" max="11782" width="18.00390625" style="2" customWidth="1"/>
    <col min="11783" max="11783" width="9.140625" style="2" customWidth="1"/>
    <col min="11784" max="11784" width="14.7109375" style="2" customWidth="1"/>
    <col min="11785" max="12025" width="9.140625" style="2" customWidth="1"/>
    <col min="12026" max="12026" width="0.71875" style="2" customWidth="1"/>
    <col min="12027" max="12027" width="4.57421875" style="2" customWidth="1"/>
    <col min="12028" max="12028" width="11.28125" style="2" customWidth="1"/>
    <col min="12029" max="12029" width="52.7109375" style="2" customWidth="1"/>
    <col min="12030" max="12030" width="3.57421875" style="2" bestFit="1" customWidth="1"/>
    <col min="12031" max="12031" width="8.00390625" style="2" customWidth="1"/>
    <col min="12032" max="12032" width="9.7109375" style="2" customWidth="1"/>
    <col min="12033" max="12033" width="15.00390625" style="2" customWidth="1"/>
    <col min="12034" max="12034" width="15.57421875" style="2" customWidth="1"/>
    <col min="12035" max="12035" width="21.7109375" style="2" customWidth="1"/>
    <col min="12036" max="12037" width="8.140625" style="2" customWidth="1"/>
    <col min="12038" max="12038" width="18.00390625" style="2" customWidth="1"/>
    <col min="12039" max="12039" width="9.140625" style="2" customWidth="1"/>
    <col min="12040" max="12040" width="14.7109375" style="2" customWidth="1"/>
    <col min="12041" max="12281" width="9.140625" style="2" customWidth="1"/>
    <col min="12282" max="12282" width="0.71875" style="2" customWidth="1"/>
    <col min="12283" max="12283" width="4.57421875" style="2" customWidth="1"/>
    <col min="12284" max="12284" width="11.28125" style="2" customWidth="1"/>
    <col min="12285" max="12285" width="52.7109375" style="2" customWidth="1"/>
    <col min="12286" max="12286" width="3.57421875" style="2" bestFit="1" customWidth="1"/>
    <col min="12287" max="12287" width="8.00390625" style="2" customWidth="1"/>
    <col min="12288" max="12288" width="9.7109375" style="2" customWidth="1"/>
    <col min="12289" max="12289" width="15.00390625" style="2" customWidth="1"/>
    <col min="12290" max="12290" width="15.57421875" style="2" customWidth="1"/>
    <col min="12291" max="12291" width="21.7109375" style="2" customWidth="1"/>
    <col min="12292" max="12293" width="8.140625" style="2" customWidth="1"/>
    <col min="12294" max="12294" width="18.00390625" style="2" customWidth="1"/>
    <col min="12295" max="12295" width="9.140625" style="2" customWidth="1"/>
    <col min="12296" max="12296" width="14.7109375" style="2" customWidth="1"/>
    <col min="12297" max="12537" width="9.140625" style="2" customWidth="1"/>
    <col min="12538" max="12538" width="0.71875" style="2" customWidth="1"/>
    <col min="12539" max="12539" width="4.57421875" style="2" customWidth="1"/>
    <col min="12540" max="12540" width="11.28125" style="2" customWidth="1"/>
    <col min="12541" max="12541" width="52.7109375" style="2" customWidth="1"/>
    <col min="12542" max="12542" width="3.57421875" style="2" bestFit="1" customWidth="1"/>
    <col min="12543" max="12543" width="8.00390625" style="2" customWidth="1"/>
    <col min="12544" max="12544" width="9.7109375" style="2" customWidth="1"/>
    <col min="12545" max="12545" width="15.00390625" style="2" customWidth="1"/>
    <col min="12546" max="12546" width="15.57421875" style="2" customWidth="1"/>
    <col min="12547" max="12547" width="21.7109375" style="2" customWidth="1"/>
    <col min="12548" max="12549" width="8.140625" style="2" customWidth="1"/>
    <col min="12550" max="12550" width="18.00390625" style="2" customWidth="1"/>
    <col min="12551" max="12551" width="9.140625" style="2" customWidth="1"/>
    <col min="12552" max="12552" width="14.7109375" style="2" customWidth="1"/>
    <col min="12553" max="12793" width="9.140625" style="2" customWidth="1"/>
    <col min="12794" max="12794" width="0.71875" style="2" customWidth="1"/>
    <col min="12795" max="12795" width="4.57421875" style="2" customWidth="1"/>
    <col min="12796" max="12796" width="11.28125" style="2" customWidth="1"/>
    <col min="12797" max="12797" width="52.7109375" style="2" customWidth="1"/>
    <col min="12798" max="12798" width="3.57421875" style="2" bestFit="1" customWidth="1"/>
    <col min="12799" max="12799" width="8.00390625" style="2" customWidth="1"/>
    <col min="12800" max="12800" width="9.7109375" style="2" customWidth="1"/>
    <col min="12801" max="12801" width="15.00390625" style="2" customWidth="1"/>
    <col min="12802" max="12802" width="15.57421875" style="2" customWidth="1"/>
    <col min="12803" max="12803" width="21.7109375" style="2" customWidth="1"/>
    <col min="12804" max="12805" width="8.140625" style="2" customWidth="1"/>
    <col min="12806" max="12806" width="18.00390625" style="2" customWidth="1"/>
    <col min="12807" max="12807" width="9.140625" style="2" customWidth="1"/>
    <col min="12808" max="12808" width="14.7109375" style="2" customWidth="1"/>
    <col min="12809" max="13049" width="9.140625" style="2" customWidth="1"/>
    <col min="13050" max="13050" width="0.71875" style="2" customWidth="1"/>
    <col min="13051" max="13051" width="4.57421875" style="2" customWidth="1"/>
    <col min="13052" max="13052" width="11.28125" style="2" customWidth="1"/>
    <col min="13053" max="13053" width="52.7109375" style="2" customWidth="1"/>
    <col min="13054" max="13054" width="3.57421875" style="2" bestFit="1" customWidth="1"/>
    <col min="13055" max="13055" width="8.00390625" style="2" customWidth="1"/>
    <col min="13056" max="13056" width="9.7109375" style="2" customWidth="1"/>
    <col min="13057" max="13057" width="15.00390625" style="2" customWidth="1"/>
    <col min="13058" max="13058" width="15.57421875" style="2" customWidth="1"/>
    <col min="13059" max="13059" width="21.7109375" style="2" customWidth="1"/>
    <col min="13060" max="13061" width="8.140625" style="2" customWidth="1"/>
    <col min="13062" max="13062" width="18.00390625" style="2" customWidth="1"/>
    <col min="13063" max="13063" width="9.140625" style="2" customWidth="1"/>
    <col min="13064" max="13064" width="14.7109375" style="2" customWidth="1"/>
    <col min="13065" max="13305" width="9.140625" style="2" customWidth="1"/>
    <col min="13306" max="13306" width="0.71875" style="2" customWidth="1"/>
    <col min="13307" max="13307" width="4.57421875" style="2" customWidth="1"/>
    <col min="13308" max="13308" width="11.28125" style="2" customWidth="1"/>
    <col min="13309" max="13309" width="52.7109375" style="2" customWidth="1"/>
    <col min="13310" max="13310" width="3.57421875" style="2" bestFit="1" customWidth="1"/>
    <col min="13311" max="13311" width="8.00390625" style="2" customWidth="1"/>
    <col min="13312" max="13312" width="9.7109375" style="2" customWidth="1"/>
    <col min="13313" max="13313" width="15.00390625" style="2" customWidth="1"/>
    <col min="13314" max="13314" width="15.57421875" style="2" customWidth="1"/>
    <col min="13315" max="13315" width="21.7109375" style="2" customWidth="1"/>
    <col min="13316" max="13317" width="8.140625" style="2" customWidth="1"/>
    <col min="13318" max="13318" width="18.00390625" style="2" customWidth="1"/>
    <col min="13319" max="13319" width="9.140625" style="2" customWidth="1"/>
    <col min="13320" max="13320" width="14.7109375" style="2" customWidth="1"/>
    <col min="13321" max="13561" width="9.140625" style="2" customWidth="1"/>
    <col min="13562" max="13562" width="0.71875" style="2" customWidth="1"/>
    <col min="13563" max="13563" width="4.57421875" style="2" customWidth="1"/>
    <col min="13564" max="13564" width="11.28125" style="2" customWidth="1"/>
    <col min="13565" max="13565" width="52.7109375" style="2" customWidth="1"/>
    <col min="13566" max="13566" width="3.57421875" style="2" bestFit="1" customWidth="1"/>
    <col min="13567" max="13567" width="8.00390625" style="2" customWidth="1"/>
    <col min="13568" max="13568" width="9.7109375" style="2" customWidth="1"/>
    <col min="13569" max="13569" width="15.00390625" style="2" customWidth="1"/>
    <col min="13570" max="13570" width="15.57421875" style="2" customWidth="1"/>
    <col min="13571" max="13571" width="21.7109375" style="2" customWidth="1"/>
    <col min="13572" max="13573" width="8.140625" style="2" customWidth="1"/>
    <col min="13574" max="13574" width="18.00390625" style="2" customWidth="1"/>
    <col min="13575" max="13575" width="9.140625" style="2" customWidth="1"/>
    <col min="13576" max="13576" width="14.7109375" style="2" customWidth="1"/>
    <col min="13577" max="13817" width="9.140625" style="2" customWidth="1"/>
    <col min="13818" max="13818" width="0.71875" style="2" customWidth="1"/>
    <col min="13819" max="13819" width="4.57421875" style="2" customWidth="1"/>
    <col min="13820" max="13820" width="11.28125" style="2" customWidth="1"/>
    <col min="13821" max="13821" width="52.7109375" style="2" customWidth="1"/>
    <col min="13822" max="13822" width="3.57421875" style="2" bestFit="1" customWidth="1"/>
    <col min="13823" max="13823" width="8.00390625" style="2" customWidth="1"/>
    <col min="13824" max="13824" width="9.7109375" style="2" customWidth="1"/>
    <col min="13825" max="13825" width="15.00390625" style="2" customWidth="1"/>
    <col min="13826" max="13826" width="15.57421875" style="2" customWidth="1"/>
    <col min="13827" max="13827" width="21.7109375" style="2" customWidth="1"/>
    <col min="13828" max="13829" width="8.140625" style="2" customWidth="1"/>
    <col min="13830" max="13830" width="18.00390625" style="2" customWidth="1"/>
    <col min="13831" max="13831" width="9.140625" style="2" customWidth="1"/>
    <col min="13832" max="13832" width="14.7109375" style="2" customWidth="1"/>
    <col min="13833" max="14073" width="9.140625" style="2" customWidth="1"/>
    <col min="14074" max="14074" width="0.71875" style="2" customWidth="1"/>
    <col min="14075" max="14075" width="4.57421875" style="2" customWidth="1"/>
    <col min="14076" max="14076" width="11.28125" style="2" customWidth="1"/>
    <col min="14077" max="14077" width="52.7109375" style="2" customWidth="1"/>
    <col min="14078" max="14078" width="3.57421875" style="2" bestFit="1" customWidth="1"/>
    <col min="14079" max="14079" width="8.00390625" style="2" customWidth="1"/>
    <col min="14080" max="14080" width="9.7109375" style="2" customWidth="1"/>
    <col min="14081" max="14081" width="15.00390625" style="2" customWidth="1"/>
    <col min="14082" max="14082" width="15.57421875" style="2" customWidth="1"/>
    <col min="14083" max="14083" width="21.7109375" style="2" customWidth="1"/>
    <col min="14084" max="14085" width="8.140625" style="2" customWidth="1"/>
    <col min="14086" max="14086" width="18.00390625" style="2" customWidth="1"/>
    <col min="14087" max="14087" width="9.140625" style="2" customWidth="1"/>
    <col min="14088" max="14088" width="14.7109375" style="2" customWidth="1"/>
    <col min="14089" max="14329" width="9.140625" style="2" customWidth="1"/>
    <col min="14330" max="14330" width="0.71875" style="2" customWidth="1"/>
    <col min="14331" max="14331" width="4.57421875" style="2" customWidth="1"/>
    <col min="14332" max="14332" width="11.28125" style="2" customWidth="1"/>
    <col min="14333" max="14333" width="52.7109375" style="2" customWidth="1"/>
    <col min="14334" max="14334" width="3.57421875" style="2" bestFit="1" customWidth="1"/>
    <col min="14335" max="14335" width="8.00390625" style="2" customWidth="1"/>
    <col min="14336" max="14336" width="9.7109375" style="2" customWidth="1"/>
    <col min="14337" max="14337" width="15.00390625" style="2" customWidth="1"/>
    <col min="14338" max="14338" width="15.57421875" style="2" customWidth="1"/>
    <col min="14339" max="14339" width="21.7109375" style="2" customWidth="1"/>
    <col min="14340" max="14341" width="8.140625" style="2" customWidth="1"/>
    <col min="14342" max="14342" width="18.00390625" style="2" customWidth="1"/>
    <col min="14343" max="14343" width="9.140625" style="2" customWidth="1"/>
    <col min="14344" max="14344" width="14.7109375" style="2" customWidth="1"/>
    <col min="14345" max="14585" width="9.140625" style="2" customWidth="1"/>
    <col min="14586" max="14586" width="0.71875" style="2" customWidth="1"/>
    <col min="14587" max="14587" width="4.57421875" style="2" customWidth="1"/>
    <col min="14588" max="14588" width="11.28125" style="2" customWidth="1"/>
    <col min="14589" max="14589" width="52.7109375" style="2" customWidth="1"/>
    <col min="14590" max="14590" width="3.57421875" style="2" bestFit="1" customWidth="1"/>
    <col min="14591" max="14591" width="8.00390625" style="2" customWidth="1"/>
    <col min="14592" max="14592" width="9.7109375" style="2" customWidth="1"/>
    <col min="14593" max="14593" width="15.00390625" style="2" customWidth="1"/>
    <col min="14594" max="14594" width="15.57421875" style="2" customWidth="1"/>
    <col min="14595" max="14595" width="21.7109375" style="2" customWidth="1"/>
    <col min="14596" max="14597" width="8.140625" style="2" customWidth="1"/>
    <col min="14598" max="14598" width="18.00390625" style="2" customWidth="1"/>
    <col min="14599" max="14599" width="9.140625" style="2" customWidth="1"/>
    <col min="14600" max="14600" width="14.7109375" style="2" customWidth="1"/>
    <col min="14601" max="14841" width="9.140625" style="2" customWidth="1"/>
    <col min="14842" max="14842" width="0.71875" style="2" customWidth="1"/>
    <col min="14843" max="14843" width="4.57421875" style="2" customWidth="1"/>
    <col min="14844" max="14844" width="11.28125" style="2" customWidth="1"/>
    <col min="14845" max="14845" width="52.7109375" style="2" customWidth="1"/>
    <col min="14846" max="14846" width="3.57421875" style="2" bestFit="1" customWidth="1"/>
    <col min="14847" max="14847" width="8.00390625" style="2" customWidth="1"/>
    <col min="14848" max="14848" width="9.7109375" style="2" customWidth="1"/>
    <col min="14849" max="14849" width="15.00390625" style="2" customWidth="1"/>
    <col min="14850" max="14850" width="15.57421875" style="2" customWidth="1"/>
    <col min="14851" max="14851" width="21.7109375" style="2" customWidth="1"/>
    <col min="14852" max="14853" width="8.140625" style="2" customWidth="1"/>
    <col min="14854" max="14854" width="18.00390625" style="2" customWidth="1"/>
    <col min="14855" max="14855" width="9.140625" style="2" customWidth="1"/>
    <col min="14856" max="14856" width="14.7109375" style="2" customWidth="1"/>
    <col min="14857" max="15097" width="9.140625" style="2" customWidth="1"/>
    <col min="15098" max="15098" width="0.71875" style="2" customWidth="1"/>
    <col min="15099" max="15099" width="4.57421875" style="2" customWidth="1"/>
    <col min="15100" max="15100" width="11.28125" style="2" customWidth="1"/>
    <col min="15101" max="15101" width="52.7109375" style="2" customWidth="1"/>
    <col min="15102" max="15102" width="3.57421875" style="2" bestFit="1" customWidth="1"/>
    <col min="15103" max="15103" width="8.00390625" style="2" customWidth="1"/>
    <col min="15104" max="15104" width="9.7109375" style="2" customWidth="1"/>
    <col min="15105" max="15105" width="15.00390625" style="2" customWidth="1"/>
    <col min="15106" max="15106" width="15.57421875" style="2" customWidth="1"/>
    <col min="15107" max="15107" width="21.7109375" style="2" customWidth="1"/>
    <col min="15108" max="15109" width="8.140625" style="2" customWidth="1"/>
    <col min="15110" max="15110" width="18.00390625" style="2" customWidth="1"/>
    <col min="15111" max="15111" width="9.140625" style="2" customWidth="1"/>
    <col min="15112" max="15112" width="14.7109375" style="2" customWidth="1"/>
    <col min="15113" max="15353" width="9.140625" style="2" customWidth="1"/>
    <col min="15354" max="15354" width="0.71875" style="2" customWidth="1"/>
    <col min="15355" max="15355" width="4.57421875" style="2" customWidth="1"/>
    <col min="15356" max="15356" width="11.28125" style="2" customWidth="1"/>
    <col min="15357" max="15357" width="52.7109375" style="2" customWidth="1"/>
    <col min="15358" max="15358" width="3.57421875" style="2" bestFit="1" customWidth="1"/>
    <col min="15359" max="15359" width="8.00390625" style="2" customWidth="1"/>
    <col min="15360" max="15360" width="9.7109375" style="2" customWidth="1"/>
    <col min="15361" max="15361" width="15.00390625" style="2" customWidth="1"/>
    <col min="15362" max="15362" width="15.57421875" style="2" customWidth="1"/>
    <col min="15363" max="15363" width="21.7109375" style="2" customWidth="1"/>
    <col min="15364" max="15365" width="8.140625" style="2" customWidth="1"/>
    <col min="15366" max="15366" width="18.00390625" style="2" customWidth="1"/>
    <col min="15367" max="15367" width="9.140625" style="2" customWidth="1"/>
    <col min="15368" max="15368" width="14.7109375" style="2" customWidth="1"/>
    <col min="15369" max="15609" width="9.140625" style="2" customWidth="1"/>
    <col min="15610" max="15610" width="0.71875" style="2" customWidth="1"/>
    <col min="15611" max="15611" width="4.57421875" style="2" customWidth="1"/>
    <col min="15612" max="15612" width="11.28125" style="2" customWidth="1"/>
    <col min="15613" max="15613" width="52.7109375" style="2" customWidth="1"/>
    <col min="15614" max="15614" width="3.57421875" style="2" bestFit="1" customWidth="1"/>
    <col min="15615" max="15615" width="8.00390625" style="2" customWidth="1"/>
    <col min="15616" max="15616" width="9.7109375" style="2" customWidth="1"/>
    <col min="15617" max="15617" width="15.00390625" style="2" customWidth="1"/>
    <col min="15618" max="15618" width="15.57421875" style="2" customWidth="1"/>
    <col min="15619" max="15619" width="21.7109375" style="2" customWidth="1"/>
    <col min="15620" max="15621" width="8.140625" style="2" customWidth="1"/>
    <col min="15622" max="15622" width="18.00390625" style="2" customWidth="1"/>
    <col min="15623" max="15623" width="9.140625" style="2" customWidth="1"/>
    <col min="15624" max="15624" width="14.7109375" style="2" customWidth="1"/>
    <col min="15625" max="15865" width="9.140625" style="2" customWidth="1"/>
    <col min="15866" max="15866" width="0.71875" style="2" customWidth="1"/>
    <col min="15867" max="15867" width="4.57421875" style="2" customWidth="1"/>
    <col min="15868" max="15868" width="11.28125" style="2" customWidth="1"/>
    <col min="15869" max="15869" width="52.7109375" style="2" customWidth="1"/>
    <col min="15870" max="15870" width="3.57421875" style="2" bestFit="1" customWidth="1"/>
    <col min="15871" max="15871" width="8.00390625" style="2" customWidth="1"/>
    <col min="15872" max="15872" width="9.7109375" style="2" customWidth="1"/>
    <col min="15873" max="15873" width="15.00390625" style="2" customWidth="1"/>
    <col min="15874" max="15874" width="15.57421875" style="2" customWidth="1"/>
    <col min="15875" max="15875" width="21.7109375" style="2" customWidth="1"/>
    <col min="15876" max="15877" width="8.140625" style="2" customWidth="1"/>
    <col min="15878" max="15878" width="18.00390625" style="2" customWidth="1"/>
    <col min="15879" max="15879" width="9.140625" style="2" customWidth="1"/>
    <col min="15880" max="15880" width="14.7109375" style="2" customWidth="1"/>
    <col min="15881" max="16121" width="9.140625" style="2" customWidth="1"/>
    <col min="16122" max="16122" width="0.71875" style="2" customWidth="1"/>
    <col min="16123" max="16123" width="4.57421875" style="2" customWidth="1"/>
    <col min="16124" max="16124" width="11.28125" style="2" customWidth="1"/>
    <col min="16125" max="16125" width="52.7109375" style="2" customWidth="1"/>
    <col min="16126" max="16126" width="3.57421875" style="2" bestFit="1" customWidth="1"/>
    <col min="16127" max="16127" width="8.00390625" style="2" customWidth="1"/>
    <col min="16128" max="16128" width="9.7109375" style="2" customWidth="1"/>
    <col min="16129" max="16129" width="15.00390625" style="2" customWidth="1"/>
    <col min="16130" max="16130" width="15.57421875" style="2" customWidth="1"/>
    <col min="16131" max="16131" width="21.7109375" style="2" customWidth="1"/>
    <col min="16132" max="16133" width="8.140625" style="2" customWidth="1"/>
    <col min="16134" max="16134" width="18.00390625" style="2" customWidth="1"/>
    <col min="16135" max="16135" width="9.140625" style="2" customWidth="1"/>
    <col min="16136" max="16136" width="14.7109375" style="2" customWidth="1"/>
    <col min="16137" max="16384" width="9.140625" style="2" customWidth="1"/>
  </cols>
  <sheetData>
    <row r="1" spans="1:9" s="58" customFormat="1" ht="18" customHeight="1">
      <c r="A1" s="53"/>
      <c r="B1" s="105" t="s">
        <v>61</v>
      </c>
      <c r="C1" s="105"/>
      <c r="D1" s="105"/>
      <c r="E1" s="105"/>
      <c r="F1" s="105"/>
      <c r="G1" s="105"/>
      <c r="H1" s="105"/>
      <c r="I1" s="57"/>
    </row>
    <row r="2" spans="1:9" s="58" customFormat="1" ht="18" customHeight="1">
      <c r="A2" s="53"/>
      <c r="B2" s="105" t="s">
        <v>256</v>
      </c>
      <c r="C2" s="105"/>
      <c r="D2" s="105"/>
      <c r="E2" s="105"/>
      <c r="F2" s="105"/>
      <c r="G2" s="105"/>
      <c r="H2" s="105"/>
      <c r="I2" s="57"/>
    </row>
    <row r="3" spans="1:11" s="58" customFormat="1" ht="18.75">
      <c r="A3" s="53"/>
      <c r="B3" s="102"/>
      <c r="C3" s="102"/>
      <c r="D3" s="102"/>
      <c r="E3" s="67"/>
      <c r="F3" s="67"/>
      <c r="G3" s="67"/>
      <c r="I3" s="103"/>
      <c r="K3" s="98"/>
    </row>
    <row r="4" spans="1:11" s="58" customFormat="1" ht="18.75">
      <c r="A4" s="53"/>
      <c r="B4" s="102"/>
      <c r="C4" s="102"/>
      <c r="D4" s="102"/>
      <c r="E4" s="67"/>
      <c r="F4" s="67"/>
      <c r="G4" s="67"/>
      <c r="I4" s="103"/>
      <c r="K4" s="98"/>
    </row>
    <row r="5" spans="1:11" s="58" customFormat="1" ht="18.75">
      <c r="A5" s="53"/>
      <c r="B5" s="102"/>
      <c r="C5" s="102"/>
      <c r="D5" s="102"/>
      <c r="E5" s="67"/>
      <c r="F5" s="67"/>
      <c r="G5" s="67"/>
      <c r="I5" s="103"/>
      <c r="K5" s="98"/>
    </row>
    <row r="6" spans="2:9" s="74" customFormat="1" ht="12.75">
      <c r="B6" s="75" t="s">
        <v>60</v>
      </c>
      <c r="C6" s="76"/>
      <c r="D6" s="75"/>
      <c r="E6" s="77"/>
      <c r="F6" s="78"/>
      <c r="G6" s="79"/>
      <c r="H6" s="80"/>
      <c r="I6" s="81"/>
    </row>
    <row r="7" spans="2:9" s="74" customFormat="1" ht="12.75">
      <c r="B7" s="75" t="s">
        <v>11</v>
      </c>
      <c r="C7" s="76"/>
      <c r="D7" s="75"/>
      <c r="E7" s="77"/>
      <c r="F7" s="78"/>
      <c r="G7" s="79"/>
      <c r="H7" s="80"/>
      <c r="I7" s="81"/>
    </row>
    <row r="8" spans="2:9" s="74" customFormat="1" ht="12.75">
      <c r="B8" s="75" t="s">
        <v>121</v>
      </c>
      <c r="C8" s="76"/>
      <c r="D8" s="75"/>
      <c r="E8" s="77"/>
      <c r="F8" s="78"/>
      <c r="G8" s="79"/>
      <c r="H8" s="80"/>
      <c r="I8" s="81"/>
    </row>
    <row r="9" spans="1:9" s="58" customFormat="1" ht="12.75">
      <c r="A9" s="53"/>
      <c r="B9" s="68"/>
      <c r="C9" s="54"/>
      <c r="D9" s="68"/>
      <c r="E9" s="54"/>
      <c r="F9" s="69"/>
      <c r="G9" s="70"/>
      <c r="H9" s="71"/>
      <c r="I9" s="57"/>
    </row>
    <row r="10" spans="1:9" s="58" customFormat="1" ht="12.75">
      <c r="A10" s="53"/>
      <c r="B10" s="68"/>
      <c r="C10" s="54"/>
      <c r="D10" s="68"/>
      <c r="E10" s="54"/>
      <c r="F10" s="69"/>
      <c r="G10" s="70"/>
      <c r="H10" s="71"/>
      <c r="I10" s="57"/>
    </row>
    <row r="11" spans="1:9" s="58" customFormat="1" ht="12.75">
      <c r="A11" s="53"/>
      <c r="B11" s="68"/>
      <c r="C11" s="54"/>
      <c r="D11" s="68"/>
      <c r="E11" s="54"/>
      <c r="F11" s="69"/>
      <c r="G11" s="70"/>
      <c r="H11" s="71"/>
      <c r="I11" s="57"/>
    </row>
    <row r="12" spans="1:9" s="58" customFormat="1" ht="12.75">
      <c r="A12" s="53"/>
      <c r="B12" s="68"/>
      <c r="C12" s="54"/>
      <c r="D12" s="68"/>
      <c r="E12" s="54"/>
      <c r="F12" s="69"/>
      <c r="G12" s="70"/>
      <c r="H12" s="71"/>
      <c r="I12" s="57"/>
    </row>
    <row r="13" spans="1:9" s="52" customFormat="1" ht="18.75">
      <c r="A13" s="45"/>
      <c r="B13" s="46"/>
      <c r="C13" s="47"/>
      <c r="D13" s="48" t="s">
        <v>26</v>
      </c>
      <c r="E13" s="49"/>
      <c r="F13" s="50"/>
      <c r="G13" s="107"/>
      <c r="H13" s="107"/>
      <c r="I13" s="51"/>
    </row>
    <row r="14" spans="1:9" s="58" customFormat="1" ht="12.75">
      <c r="A14" s="53"/>
      <c r="B14" s="54"/>
      <c r="C14" s="55"/>
      <c r="D14" s="38" t="str">
        <f>+B1</f>
        <v>REVITALIZACE ZELENĚ NA ULICI FRÝDECKÁ, TŘINEC</v>
      </c>
      <c r="E14" s="54"/>
      <c r="F14" s="69"/>
      <c r="G14" s="70"/>
      <c r="H14" s="71"/>
      <c r="I14" s="57"/>
    </row>
    <row r="15" ht="12.75"/>
    <row r="16" spans="2:9" s="74" customFormat="1" ht="12.75">
      <c r="B16" s="77">
        <v>1</v>
      </c>
      <c r="C16" s="76"/>
      <c r="D16" s="75" t="str">
        <f>+D67</f>
        <v>Celkem za vytyčení inženýrských sítí - soubor bez DPH</v>
      </c>
      <c r="E16" s="77"/>
      <c r="F16" s="78"/>
      <c r="G16" s="79"/>
      <c r="H16" s="80">
        <f>+H66</f>
        <v>0</v>
      </c>
      <c r="I16" s="81"/>
    </row>
    <row r="17" spans="2:9" s="74" customFormat="1" ht="12.75">
      <c r="B17" s="77">
        <v>2</v>
      </c>
      <c r="C17" s="76"/>
      <c r="D17" s="75" t="str">
        <f>+D81</f>
        <v>Celkem za odstranění nevhodných dřevin bez DPH</v>
      </c>
      <c r="E17" s="77"/>
      <c r="F17" s="78"/>
      <c r="G17" s="79"/>
      <c r="H17" s="80">
        <f>+H81</f>
        <v>0</v>
      </c>
      <c r="I17" s="81"/>
    </row>
    <row r="18" spans="2:9" s="74" customFormat="1" ht="12.75">
      <c r="B18" s="77">
        <v>3</v>
      </c>
      <c r="C18" s="76"/>
      <c r="D18" s="75" t="str">
        <f>+D91</f>
        <v>Celkem za řezy stromů a biotech. opatření bez DPH</v>
      </c>
      <c r="E18" s="77"/>
      <c r="F18" s="78"/>
      <c r="G18" s="79"/>
      <c r="H18" s="80">
        <f>+H91</f>
        <v>0</v>
      </c>
      <c r="I18" s="81"/>
    </row>
    <row r="19" spans="2:9" s="74" customFormat="1" ht="12.75">
      <c r="B19" s="77">
        <v>4</v>
      </c>
      <c r="C19" s="76"/>
      <c r="D19" s="75" t="str">
        <f>+D106</f>
        <v>Celkem za terenní úpravy bez DPH</v>
      </c>
      <c r="E19" s="77"/>
      <c r="F19" s="78"/>
      <c r="G19" s="79"/>
      <c r="H19" s="80">
        <f>+H106</f>
        <v>0</v>
      </c>
      <c r="I19" s="81"/>
    </row>
    <row r="20" spans="2:9" s="74" customFormat="1" ht="12.75">
      <c r="B20" s="77">
        <v>5</v>
      </c>
      <c r="C20" s="76"/>
      <c r="D20" s="75" t="str">
        <f>+D123</f>
        <v>Celkem za výsadbu cibulovin včetně materiálu bez DPH</v>
      </c>
      <c r="E20" s="77"/>
      <c r="F20" s="78"/>
      <c r="G20" s="79"/>
      <c r="H20" s="80">
        <f>+H123</f>
        <v>0</v>
      </c>
      <c r="I20" s="81"/>
    </row>
    <row r="21" spans="2:9" s="74" customFormat="1" ht="12.75">
      <c r="B21" s="77">
        <v>6</v>
      </c>
      <c r="C21" s="76"/>
      <c r="D21" s="75" t="str">
        <f>+D152</f>
        <v>Celkem za výsadbu keřů strana KARIPER včetně materiálu bez DPH</v>
      </c>
      <c r="E21" s="77"/>
      <c r="F21" s="78"/>
      <c r="G21" s="79"/>
      <c r="H21" s="80">
        <f>+H152</f>
        <v>0</v>
      </c>
      <c r="I21" s="81"/>
    </row>
    <row r="22" spans="2:9" s="74" customFormat="1" ht="12.75">
      <c r="B22" s="77">
        <v>7</v>
      </c>
      <c r="C22" s="76"/>
      <c r="D22" s="75" t="str">
        <f>+D174</f>
        <v>Celkem za výsadbu keřů strana TESCO včetně materiálu bez DPH</v>
      </c>
      <c r="E22" s="77"/>
      <c r="F22" s="78"/>
      <c r="G22" s="79"/>
      <c r="H22" s="80">
        <f>+H174</f>
        <v>0</v>
      </c>
      <c r="I22" s="81"/>
    </row>
    <row r="23" spans="2:9" s="74" customFormat="1" ht="12.75">
      <c r="B23" s="77">
        <v>8</v>
      </c>
      <c r="C23" s="76"/>
      <c r="D23" s="75" t="str">
        <f>+D211</f>
        <v>Celkem za výsadbu alejových stromů, ok 18-20 cm včetně materiálu bez DPH</v>
      </c>
      <c r="E23" s="77"/>
      <c r="F23" s="78"/>
      <c r="G23" s="79"/>
      <c r="H23" s="80">
        <f>+H211</f>
        <v>0</v>
      </c>
      <c r="I23" s="81"/>
    </row>
    <row r="24" spans="2:9" s="74" customFormat="1" ht="12.75">
      <c r="B24" s="77">
        <v>9</v>
      </c>
      <c r="C24" s="76"/>
      <c r="D24" s="75" t="str">
        <f>+D225</f>
        <v>Celkem za založení trávníku parkového včetně materiálu bez DPH</v>
      </c>
      <c r="E24" s="77"/>
      <c r="F24" s="78"/>
      <c r="G24" s="79"/>
      <c r="H24" s="80">
        <f>+H225</f>
        <v>0</v>
      </c>
      <c r="I24" s="81"/>
    </row>
    <row r="25" spans="1:9" s="73" customFormat="1" ht="12.75">
      <c r="A25" s="53"/>
      <c r="B25" s="39"/>
      <c r="C25" s="53"/>
      <c r="D25" s="38" t="s">
        <v>223</v>
      </c>
      <c r="E25" s="39"/>
      <c r="F25" s="108">
        <f>+H16+H17+H19+H20+H21+H22+H23+H24+H18</f>
        <v>0</v>
      </c>
      <c r="G25" s="108"/>
      <c r="H25" s="41"/>
      <c r="I25" s="72"/>
    </row>
    <row r="26" spans="2:9" s="74" customFormat="1" ht="12.75">
      <c r="B26" s="77">
        <v>10</v>
      </c>
      <c r="C26" s="76"/>
      <c r="D26" s="75" t="str">
        <f>+D237</f>
        <v>Celkem za následnou péči po dobu 1. roku - stromy bez DPH</v>
      </c>
      <c r="E26" s="77"/>
      <c r="F26" s="78"/>
      <c r="G26" s="79"/>
      <c r="H26" s="80">
        <f>+H237</f>
        <v>0</v>
      </c>
      <c r="I26" s="81"/>
    </row>
    <row r="27" spans="2:9" s="74" customFormat="1" ht="12.75">
      <c r="B27" s="77">
        <v>11</v>
      </c>
      <c r="C27" s="76"/>
      <c r="D27" s="75" t="str">
        <f>+D248</f>
        <v>Celkem za následnou péči po dobu 1. roku - keře bez DPH</v>
      </c>
      <c r="E27" s="77"/>
      <c r="F27" s="78"/>
      <c r="G27" s="79"/>
      <c r="H27" s="80">
        <f>+H248</f>
        <v>0</v>
      </c>
      <c r="I27" s="81"/>
    </row>
    <row r="28" spans="2:9" s="74" customFormat="1" ht="12.75">
      <c r="B28" s="77">
        <v>12</v>
      </c>
      <c r="C28" s="76"/>
      <c r="D28" s="75" t="str">
        <f>+D253</f>
        <v>Celkem za následnou péči po dobu 1. roku - cibuloviny bez DPH</v>
      </c>
      <c r="E28" s="77"/>
      <c r="F28" s="78"/>
      <c r="G28" s="79"/>
      <c r="H28" s="80">
        <f>+H253</f>
        <v>0</v>
      </c>
      <c r="I28" s="81"/>
    </row>
    <row r="29" spans="2:9" s="74" customFormat="1" ht="12.75">
      <c r="B29" s="77">
        <v>13</v>
      </c>
      <c r="C29" s="76"/>
      <c r="D29" s="75" t="str">
        <f>+D267</f>
        <v>Celkem za následnou péči po dobu 1. roku - přímý výsev letniček a trvalek bez DPH</v>
      </c>
      <c r="E29" s="77"/>
      <c r="F29" s="78"/>
      <c r="G29" s="79"/>
      <c r="H29" s="80">
        <f>+H267</f>
        <v>0</v>
      </c>
      <c r="I29" s="81"/>
    </row>
    <row r="30" spans="2:9" s="74" customFormat="1" ht="12.75">
      <c r="B30" s="77">
        <v>14</v>
      </c>
      <c r="C30" s="76"/>
      <c r="D30" s="75" t="str">
        <f>+D272</f>
        <v>Celkem za následnou péči po dobu 1. roku - trávníky bez DPH</v>
      </c>
      <c r="E30" s="77"/>
      <c r="F30" s="78"/>
      <c r="G30" s="79"/>
      <c r="H30" s="80">
        <f>+H272</f>
        <v>0</v>
      </c>
      <c r="I30" s="81"/>
    </row>
    <row r="31" spans="1:9" s="73" customFormat="1" ht="12.75">
      <c r="A31" s="53"/>
      <c r="B31" s="39"/>
      <c r="C31" s="53"/>
      <c r="D31" s="38" t="s">
        <v>224</v>
      </c>
      <c r="E31" s="39"/>
      <c r="F31" s="108">
        <f>+H26+H27+H28+H29+H30</f>
        <v>0</v>
      </c>
      <c r="G31" s="108"/>
      <c r="H31" s="41"/>
      <c r="I31" s="72"/>
    </row>
    <row r="32" spans="2:9" s="74" customFormat="1" ht="12.75">
      <c r="B32" s="77">
        <v>15</v>
      </c>
      <c r="C32" s="76"/>
      <c r="D32" s="75" t="str">
        <f>+D288</f>
        <v>Celkem za následnou péči po dobu 2. roku - stromy bez DPH</v>
      </c>
      <c r="E32" s="77"/>
      <c r="F32" s="78"/>
      <c r="G32" s="79"/>
      <c r="H32" s="80">
        <f>+H288</f>
        <v>0</v>
      </c>
      <c r="I32" s="81"/>
    </row>
    <row r="33" spans="2:9" s="74" customFormat="1" ht="12.75">
      <c r="B33" s="77">
        <v>16</v>
      </c>
      <c r="C33" s="76"/>
      <c r="D33" s="75" t="str">
        <f>+D302</f>
        <v>Celkem za následnou péči po dobu 2. roku - keře bez DPH</v>
      </c>
      <c r="E33" s="77"/>
      <c r="F33" s="78"/>
      <c r="G33" s="79"/>
      <c r="H33" s="80">
        <f>+H302</f>
        <v>0</v>
      </c>
      <c r="I33" s="81"/>
    </row>
    <row r="34" spans="2:9" s="74" customFormat="1" ht="12.75">
      <c r="B34" s="77">
        <v>17</v>
      </c>
      <c r="C34" s="76"/>
      <c r="D34" s="75" t="str">
        <f>+D307</f>
        <v>Celkem za následnou péči po dobu 2. roku - cibuloviny bez DPH</v>
      </c>
      <c r="E34" s="77"/>
      <c r="F34" s="78"/>
      <c r="G34" s="79"/>
      <c r="H34" s="80">
        <f>+H307</f>
        <v>0</v>
      </c>
      <c r="I34" s="81"/>
    </row>
    <row r="35" spans="2:9" s="74" customFormat="1" ht="12.75">
      <c r="B35" s="77">
        <v>18</v>
      </c>
      <c r="C35" s="76"/>
      <c r="D35" s="75" t="str">
        <f>+D312</f>
        <v>Celkem za následnou péči po dobu 2. roku - přímý výsev letniček a trvalek bez DPH</v>
      </c>
      <c r="E35" s="77"/>
      <c r="F35" s="78"/>
      <c r="G35" s="79"/>
      <c r="H35" s="80">
        <f>+H312</f>
        <v>0</v>
      </c>
      <c r="I35" s="81"/>
    </row>
    <row r="36" spans="2:9" s="74" customFormat="1" ht="12.75">
      <c r="B36" s="77">
        <v>19</v>
      </c>
      <c r="C36" s="76"/>
      <c r="D36" s="75" t="str">
        <f>+D317</f>
        <v>Celkem za následnou péči po dobu 2. roku - trávníky bez DPH</v>
      </c>
      <c r="E36" s="77"/>
      <c r="F36" s="78"/>
      <c r="G36" s="79"/>
      <c r="H36" s="80">
        <f>+H317</f>
        <v>0</v>
      </c>
      <c r="I36" s="81"/>
    </row>
    <row r="37" spans="1:9" s="73" customFormat="1" ht="12.75">
      <c r="A37" s="53"/>
      <c r="B37" s="39"/>
      <c r="C37" s="53"/>
      <c r="D37" s="38" t="s">
        <v>225</v>
      </c>
      <c r="E37" s="39"/>
      <c r="F37" s="108">
        <f>+H32+H33+H34+H35+H36</f>
        <v>0</v>
      </c>
      <c r="G37" s="108"/>
      <c r="H37" s="41"/>
      <c r="I37" s="72"/>
    </row>
    <row r="38" spans="2:9" s="74" customFormat="1" ht="12.75">
      <c r="B38" s="77">
        <v>20</v>
      </c>
      <c r="C38" s="76"/>
      <c r="D38" s="75" t="str">
        <f>+D334</f>
        <v>Celkem za následnou péči po dobu 3. roku - stromy bez DPH</v>
      </c>
      <c r="E38" s="77"/>
      <c r="F38" s="78"/>
      <c r="G38" s="79"/>
      <c r="H38" s="80">
        <f>+H334</f>
        <v>0</v>
      </c>
      <c r="I38" s="81"/>
    </row>
    <row r="39" spans="2:9" s="74" customFormat="1" ht="12.75">
      <c r="B39" s="77">
        <v>21</v>
      </c>
      <c r="C39" s="76"/>
      <c r="D39" s="75" t="str">
        <f>+D347</f>
        <v>Celkem za následnou péči po dobu 3. roku - keře bez DPH</v>
      </c>
      <c r="E39" s="77"/>
      <c r="F39" s="78"/>
      <c r="G39" s="79"/>
      <c r="H39" s="80">
        <f>+H347</f>
        <v>0</v>
      </c>
      <c r="I39" s="81"/>
    </row>
    <row r="40" spans="2:9" s="74" customFormat="1" ht="12.75">
      <c r="B40" s="77">
        <v>22</v>
      </c>
      <c r="C40" s="76"/>
      <c r="D40" s="75" t="str">
        <f>+D352</f>
        <v>Celkem za následnou péči po dobu 3. roku - cibuloviny bez DPH</v>
      </c>
      <c r="E40" s="77"/>
      <c r="F40" s="78"/>
      <c r="G40" s="79"/>
      <c r="H40" s="80">
        <f>+H352</f>
        <v>0</v>
      </c>
      <c r="I40" s="81"/>
    </row>
    <row r="41" spans="2:9" s="74" customFormat="1" ht="12.75">
      <c r="B41" s="77">
        <v>23</v>
      </c>
      <c r="C41" s="76"/>
      <c r="D41" s="75" t="str">
        <f>+D357</f>
        <v>Celkem za následnou péči po dobu 3. roku - přímý výsev letniček a trvalek bez DPH</v>
      </c>
      <c r="E41" s="77"/>
      <c r="F41" s="78"/>
      <c r="G41" s="79"/>
      <c r="H41" s="80">
        <f>+H357</f>
        <v>0</v>
      </c>
      <c r="I41" s="81"/>
    </row>
    <row r="42" spans="2:9" s="74" customFormat="1" ht="12.75">
      <c r="B42" s="77">
        <v>24</v>
      </c>
      <c r="C42" s="76"/>
      <c r="D42" s="75" t="str">
        <f>+D362</f>
        <v>Celkem za následnou péči po dobu 3. roku - trávníky bez DPH</v>
      </c>
      <c r="E42" s="77"/>
      <c r="F42" s="78"/>
      <c r="G42" s="79"/>
      <c r="H42" s="80">
        <f>+H362</f>
        <v>0</v>
      </c>
      <c r="I42" s="81"/>
    </row>
    <row r="43" spans="1:9" s="73" customFormat="1" ht="12.75">
      <c r="A43" s="53"/>
      <c r="B43" s="39"/>
      <c r="C43" s="53"/>
      <c r="D43" s="38" t="s">
        <v>226</v>
      </c>
      <c r="E43" s="39"/>
      <c r="F43" s="108">
        <f>+H38+H39+H40+H41+H42</f>
        <v>0</v>
      </c>
      <c r="G43" s="108"/>
      <c r="H43" s="41"/>
      <c r="I43" s="72"/>
    </row>
    <row r="44" spans="2:9" s="74" customFormat="1" ht="12.75">
      <c r="B44" s="77">
        <v>25</v>
      </c>
      <c r="C44" s="76"/>
      <c r="D44" s="75" t="str">
        <f>+D375</f>
        <v>Celkem za následnou péči po dobu 4. roku - stromy bez DPH</v>
      </c>
      <c r="E44" s="77"/>
      <c r="F44" s="78"/>
      <c r="G44" s="79"/>
      <c r="H44" s="80">
        <f>+H375</f>
        <v>0</v>
      </c>
      <c r="I44" s="81"/>
    </row>
    <row r="45" spans="2:9" s="74" customFormat="1" ht="12.75">
      <c r="B45" s="77">
        <v>26</v>
      </c>
      <c r="C45" s="76"/>
      <c r="D45" s="75" t="str">
        <f>+D386</f>
        <v>Celkem za následnou péči po dobu 4. roku - keře bez DPH</v>
      </c>
      <c r="E45" s="77"/>
      <c r="F45" s="78"/>
      <c r="G45" s="79"/>
      <c r="H45" s="80">
        <f>+H386</f>
        <v>0</v>
      </c>
      <c r="I45" s="81"/>
    </row>
    <row r="46" spans="2:9" s="74" customFormat="1" ht="12.75">
      <c r="B46" s="77">
        <v>27</v>
      </c>
      <c r="C46" s="76"/>
      <c r="D46" s="75" t="str">
        <f>+D352</f>
        <v>Celkem za následnou péči po dobu 3. roku - cibuloviny bez DPH</v>
      </c>
      <c r="E46" s="77"/>
      <c r="F46" s="78"/>
      <c r="G46" s="79"/>
      <c r="H46" s="80">
        <f>+H391</f>
        <v>0</v>
      </c>
      <c r="I46" s="81"/>
    </row>
    <row r="47" spans="2:9" s="74" customFormat="1" ht="12.75">
      <c r="B47" s="77">
        <v>28</v>
      </c>
      <c r="C47" s="76"/>
      <c r="D47" s="75" t="str">
        <f>+D409</f>
        <v>Celkem za následnou péči po dobu 4. roku - přímý výsev letniček a trvalek bez DPH</v>
      </c>
      <c r="E47" s="77"/>
      <c r="F47" s="78"/>
      <c r="G47" s="79"/>
      <c r="H47" s="80">
        <f>+H409</f>
        <v>0</v>
      </c>
      <c r="I47" s="81"/>
    </row>
    <row r="48" spans="2:9" s="74" customFormat="1" ht="12.75">
      <c r="B48" s="77">
        <v>29</v>
      </c>
      <c r="C48" s="76"/>
      <c r="D48" s="75" t="str">
        <f>+D414</f>
        <v>Celkem za následnou péči po dobu 4. roku - trávníky bez DPH</v>
      </c>
      <c r="E48" s="77"/>
      <c r="F48" s="78"/>
      <c r="G48" s="79"/>
      <c r="H48" s="80">
        <f>+H414</f>
        <v>0</v>
      </c>
      <c r="I48" s="81"/>
    </row>
    <row r="49" spans="1:9" s="73" customFormat="1" ht="12.75">
      <c r="A49" s="53"/>
      <c r="B49" s="39"/>
      <c r="C49" s="53"/>
      <c r="D49" s="38" t="s">
        <v>227</v>
      </c>
      <c r="E49" s="39"/>
      <c r="F49" s="108">
        <f>+H44+H45+H46+H47+H48</f>
        <v>0</v>
      </c>
      <c r="G49" s="108"/>
      <c r="H49" s="41"/>
      <c r="I49" s="72"/>
    </row>
    <row r="50" spans="2:9" s="74" customFormat="1" ht="12.75">
      <c r="B50" s="77">
        <v>30</v>
      </c>
      <c r="C50" s="76"/>
      <c r="D50" s="75" t="str">
        <f>+D426</f>
        <v>Celkem za následnou péči po dobu 5. roku - stromy bez DPH</v>
      </c>
      <c r="E50" s="77"/>
      <c r="F50" s="78"/>
      <c r="G50" s="79"/>
      <c r="H50" s="80">
        <f>+H426</f>
        <v>0</v>
      </c>
      <c r="I50" s="81"/>
    </row>
    <row r="51" spans="2:9" s="74" customFormat="1" ht="12.75">
      <c r="B51" s="77">
        <v>31</v>
      </c>
      <c r="C51" s="76"/>
      <c r="D51" s="75" t="str">
        <f>+D439</f>
        <v>Celkem za následnou péči po dobu 5. roku - keře bez DPH</v>
      </c>
      <c r="E51" s="77"/>
      <c r="F51" s="78"/>
      <c r="G51" s="79"/>
      <c r="H51" s="80">
        <f>+H439</f>
        <v>0</v>
      </c>
      <c r="I51" s="81"/>
    </row>
    <row r="52" spans="2:9" s="74" customFormat="1" ht="12.75">
      <c r="B52" s="77">
        <v>32</v>
      </c>
      <c r="C52" s="76"/>
      <c r="D52" s="75" t="str">
        <f>+D444</f>
        <v>Celkem za následnou péči po dobu 5. roku - cibuloviny bez DPH</v>
      </c>
      <c r="E52" s="77"/>
      <c r="F52" s="78"/>
      <c r="G52" s="79"/>
      <c r="H52" s="80">
        <f>+H444</f>
        <v>0</v>
      </c>
      <c r="I52" s="81"/>
    </row>
    <row r="53" spans="2:9" s="74" customFormat="1" ht="12.75">
      <c r="B53" s="77">
        <v>33</v>
      </c>
      <c r="C53" s="76"/>
      <c r="D53" s="75" t="str">
        <f>+D449</f>
        <v>Celkem za následnou péči po dobu 5. roku - přímý výsev letniček a trvalek bez DPH</v>
      </c>
      <c r="E53" s="77"/>
      <c r="F53" s="78"/>
      <c r="G53" s="79"/>
      <c r="H53" s="80">
        <f>+H449</f>
        <v>0</v>
      </c>
      <c r="I53" s="81"/>
    </row>
    <row r="54" spans="2:9" s="74" customFormat="1" ht="12.75">
      <c r="B54" s="77">
        <v>34</v>
      </c>
      <c r="C54" s="76"/>
      <c r="D54" s="75" t="str">
        <f>+D454</f>
        <v>Celkem za následnou péči po dobu 5. roku - trávníky bez DPH</v>
      </c>
      <c r="E54" s="77"/>
      <c r="F54" s="78"/>
      <c r="G54" s="79"/>
      <c r="H54" s="80">
        <f>+H454</f>
        <v>0</v>
      </c>
      <c r="I54" s="81"/>
    </row>
    <row r="55" spans="1:9" s="73" customFormat="1" ht="12.75">
      <c r="A55" s="53"/>
      <c r="B55" s="39"/>
      <c r="C55" s="53"/>
      <c r="D55" s="38" t="s">
        <v>228</v>
      </c>
      <c r="E55" s="39"/>
      <c r="F55" s="108">
        <f>+H50+H51+H52+H53+H54</f>
        <v>0</v>
      </c>
      <c r="G55" s="108"/>
      <c r="H55" s="41"/>
      <c r="I55" s="72"/>
    </row>
    <row r="56" spans="4:8" ht="12.75">
      <c r="D56" s="8"/>
      <c r="E56" s="9"/>
      <c r="F56" s="10"/>
      <c r="G56" s="26"/>
      <c r="H56" s="11"/>
    </row>
    <row r="57" spans="1:9" s="66" customFormat="1" ht="21">
      <c r="A57" s="59"/>
      <c r="B57" s="60"/>
      <c r="C57" s="61"/>
      <c r="D57" s="62" t="s">
        <v>12</v>
      </c>
      <c r="E57" s="63"/>
      <c r="F57" s="64"/>
      <c r="G57" s="106">
        <f>SUM(H16:H54)</f>
        <v>0</v>
      </c>
      <c r="H57" s="106"/>
      <c r="I57" s="65"/>
    </row>
    <row r="58" spans="1:9" s="58" customFormat="1" ht="12.75">
      <c r="A58" s="53"/>
      <c r="B58" s="54"/>
      <c r="C58" s="55"/>
      <c r="D58" s="38" t="s">
        <v>18</v>
      </c>
      <c r="E58" s="39"/>
      <c r="F58" s="44"/>
      <c r="G58" s="54"/>
      <c r="H58" s="56">
        <f>+G57*0.21</f>
        <v>0</v>
      </c>
      <c r="I58" s="57"/>
    </row>
    <row r="59" spans="1:9" s="58" customFormat="1" ht="12.75">
      <c r="A59" s="53"/>
      <c r="B59" s="54"/>
      <c r="C59" s="55"/>
      <c r="D59" s="38" t="s">
        <v>17</v>
      </c>
      <c r="E59" s="39"/>
      <c r="F59" s="44"/>
      <c r="G59" s="54"/>
      <c r="H59" s="56">
        <f>+G57+H58</f>
        <v>0</v>
      </c>
      <c r="I59" s="57"/>
    </row>
    <row r="60" spans="1:9" s="58" customFormat="1" ht="12.75">
      <c r="A60" s="53"/>
      <c r="B60" s="54"/>
      <c r="C60" s="55"/>
      <c r="D60" s="38"/>
      <c r="E60" s="39"/>
      <c r="F60" s="44"/>
      <c r="G60" s="54"/>
      <c r="H60" s="56"/>
      <c r="I60" s="57"/>
    </row>
    <row r="61" spans="1:9" s="58" customFormat="1" ht="12.75">
      <c r="A61" s="53"/>
      <c r="B61" s="54"/>
      <c r="C61" s="55"/>
      <c r="D61" s="38"/>
      <c r="E61" s="39"/>
      <c r="F61" s="44"/>
      <c r="G61" s="54"/>
      <c r="H61" s="56"/>
      <c r="I61" s="57"/>
    </row>
    <row r="62" spans="2:8" s="12" customFormat="1" ht="15" customHeight="1">
      <c r="B62" s="13"/>
      <c r="C62" s="99"/>
      <c r="D62" s="14"/>
      <c r="E62" s="15"/>
      <c r="F62" s="16"/>
      <c r="G62" s="100"/>
      <c r="H62" s="101"/>
    </row>
    <row r="63" spans="2:8" s="12" customFormat="1" ht="15" customHeight="1">
      <c r="B63" s="13"/>
      <c r="C63" s="99"/>
      <c r="D63" s="14"/>
      <c r="E63" s="15"/>
      <c r="F63" s="16"/>
      <c r="G63" s="100"/>
      <c r="H63" s="101"/>
    </row>
    <row r="64" spans="1:9" s="4" customFormat="1" ht="12.75">
      <c r="A64" s="20"/>
      <c r="B64" s="39">
        <v>1</v>
      </c>
      <c r="C64" s="20"/>
      <c r="D64" s="8"/>
      <c r="E64" s="9"/>
      <c r="F64" s="26"/>
      <c r="G64" s="26"/>
      <c r="H64" s="11"/>
      <c r="I64" s="22"/>
    </row>
    <row r="65" spans="2:14" s="43" customFormat="1" ht="15" customHeight="1">
      <c r="B65" s="39" t="s">
        <v>3</v>
      </c>
      <c r="C65" s="38" t="s">
        <v>233</v>
      </c>
      <c r="D65" s="38"/>
      <c r="E65" s="39" t="s">
        <v>4</v>
      </c>
      <c r="F65" s="40" t="s">
        <v>5</v>
      </c>
      <c r="G65" s="40" t="s">
        <v>6</v>
      </c>
      <c r="H65" s="41" t="s">
        <v>7</v>
      </c>
      <c r="I65" s="44"/>
      <c r="J65" s="39"/>
      <c r="K65" s="42"/>
      <c r="L65" s="39"/>
      <c r="N65" s="39"/>
    </row>
    <row r="66" spans="1:9" s="88" customFormat="1" ht="12.75">
      <c r="A66" s="82"/>
      <c r="B66" s="83">
        <v>1</v>
      </c>
      <c r="C66" s="83" t="s">
        <v>20</v>
      </c>
      <c r="D66" s="84" t="s">
        <v>234</v>
      </c>
      <c r="E66" s="83" t="s">
        <v>1</v>
      </c>
      <c r="F66" s="85">
        <v>1</v>
      </c>
      <c r="G66" s="85"/>
      <c r="H66" s="86">
        <f>+F66*G66</f>
        <v>0</v>
      </c>
      <c r="I66" s="87"/>
    </row>
    <row r="67" spans="1:14" s="43" customFormat="1" ht="15" customHeight="1">
      <c r="A67" s="39"/>
      <c r="B67" s="39"/>
      <c r="C67" s="38"/>
      <c r="D67" s="38" t="s">
        <v>235</v>
      </c>
      <c r="E67" s="39"/>
      <c r="F67" s="40"/>
      <c r="G67" s="40"/>
      <c r="H67" s="41">
        <f>SUM(H66)</f>
        <v>0</v>
      </c>
      <c r="I67" s="44"/>
      <c r="J67" s="39"/>
      <c r="K67" s="42"/>
      <c r="L67" s="39"/>
      <c r="N67" s="39"/>
    </row>
    <row r="68" spans="1:9" s="4" customFormat="1" ht="12.75">
      <c r="A68" s="20"/>
      <c r="B68" s="9"/>
      <c r="C68" s="20"/>
      <c r="D68" s="8"/>
      <c r="E68" s="9"/>
      <c r="F68" s="26"/>
      <c r="G68" s="26"/>
      <c r="H68" s="11"/>
      <c r="I68" s="22"/>
    </row>
    <row r="69" spans="1:9" s="4" customFormat="1" ht="12.75">
      <c r="A69" s="20"/>
      <c r="B69" s="9"/>
      <c r="C69" s="20"/>
      <c r="D69" s="8"/>
      <c r="E69" s="9"/>
      <c r="F69" s="26"/>
      <c r="G69" s="26"/>
      <c r="H69" s="11"/>
      <c r="I69" s="22"/>
    </row>
    <row r="70" spans="1:9" s="4" customFormat="1" ht="12.75">
      <c r="A70" s="20"/>
      <c r="B70" s="39">
        <v>2</v>
      </c>
      <c r="C70" s="20"/>
      <c r="D70" s="8"/>
      <c r="E70" s="9"/>
      <c r="F70" s="26"/>
      <c r="G70" s="26"/>
      <c r="H70" s="11"/>
      <c r="I70" s="22"/>
    </row>
    <row r="71" spans="2:14" s="43" customFormat="1" ht="15" customHeight="1">
      <c r="B71" s="39" t="s">
        <v>3</v>
      </c>
      <c r="C71" s="38" t="s">
        <v>24</v>
      </c>
      <c r="D71" s="38"/>
      <c r="E71" s="39" t="s">
        <v>4</v>
      </c>
      <c r="F71" s="40" t="s">
        <v>5</v>
      </c>
      <c r="G71" s="40" t="s">
        <v>6</v>
      </c>
      <c r="H71" s="41" t="s">
        <v>7</v>
      </c>
      <c r="I71" s="44"/>
      <c r="J71" s="39"/>
      <c r="K71" s="42"/>
      <c r="L71" s="39"/>
      <c r="N71" s="39"/>
    </row>
    <row r="72" spans="1:9" s="88" customFormat="1" ht="26.25" customHeight="1">
      <c r="A72" s="82"/>
      <c r="B72" s="83">
        <v>2</v>
      </c>
      <c r="C72" s="83">
        <v>111212215</v>
      </c>
      <c r="D72" s="84" t="s">
        <v>205</v>
      </c>
      <c r="E72" s="83" t="s">
        <v>0</v>
      </c>
      <c r="F72" s="85">
        <f>+(178+307+190)</f>
        <v>675</v>
      </c>
      <c r="G72" s="85"/>
      <c r="H72" s="86">
        <f>+F72*G72</f>
        <v>0</v>
      </c>
      <c r="I72" s="87"/>
    </row>
    <row r="73" spans="1:9" s="88" customFormat="1" ht="37.5" customHeight="1">
      <c r="A73" s="82"/>
      <c r="B73" s="83">
        <v>3</v>
      </c>
      <c r="C73" s="83">
        <v>111212351</v>
      </c>
      <c r="D73" s="84" t="s">
        <v>138</v>
      </c>
      <c r="E73" s="83" t="s">
        <v>0</v>
      </c>
      <c r="F73" s="85">
        <v>28</v>
      </c>
      <c r="G73" s="85"/>
      <c r="H73" s="86">
        <f>+F73*G73</f>
        <v>0</v>
      </c>
      <c r="I73" s="87"/>
    </row>
    <row r="74" spans="1:9" s="88" customFormat="1" ht="26.25" customHeight="1">
      <c r="A74" s="82"/>
      <c r="B74" s="83">
        <v>4</v>
      </c>
      <c r="C74" s="83">
        <v>112151111</v>
      </c>
      <c r="D74" s="84" t="s">
        <v>139</v>
      </c>
      <c r="E74" s="83" t="s">
        <v>1</v>
      </c>
      <c r="F74" s="85">
        <v>3</v>
      </c>
      <c r="G74" s="85"/>
      <c r="H74" s="86">
        <f>+F74*G74</f>
        <v>0</v>
      </c>
      <c r="I74" s="87"/>
    </row>
    <row r="75" spans="1:9" s="88" customFormat="1" ht="26.25" customHeight="1">
      <c r="A75" s="82"/>
      <c r="B75" s="83">
        <v>5</v>
      </c>
      <c r="C75" s="83">
        <v>112201111</v>
      </c>
      <c r="D75" s="84" t="s">
        <v>140</v>
      </c>
      <c r="E75" s="83" t="s">
        <v>1</v>
      </c>
      <c r="F75" s="85">
        <v>3</v>
      </c>
      <c r="G75" s="85"/>
      <c r="H75" s="86">
        <f>+F75*G75</f>
        <v>0</v>
      </c>
      <c r="I75" s="87"/>
    </row>
    <row r="76" spans="1:9" s="88" customFormat="1" ht="26.25" customHeight="1">
      <c r="A76" s="82"/>
      <c r="B76" s="83">
        <v>6</v>
      </c>
      <c r="C76" s="83">
        <v>162301401</v>
      </c>
      <c r="D76" s="84" t="s">
        <v>142</v>
      </c>
      <c r="E76" s="83" t="s">
        <v>1</v>
      </c>
      <c r="F76" s="85">
        <f>+F74</f>
        <v>3</v>
      </c>
      <c r="G76" s="85"/>
      <c r="H76" s="86">
        <f aca="true" t="shared" si="0" ref="H76:H80">G76*F76</f>
        <v>0</v>
      </c>
      <c r="I76" s="87"/>
    </row>
    <row r="77" spans="1:9" s="88" customFormat="1" ht="26.25" customHeight="1">
      <c r="A77" s="82"/>
      <c r="B77" s="83">
        <v>7</v>
      </c>
      <c r="C77" s="83">
        <v>162301411</v>
      </c>
      <c r="D77" s="84" t="s">
        <v>143</v>
      </c>
      <c r="E77" s="83" t="s">
        <v>1</v>
      </c>
      <c r="F77" s="85">
        <f>+F76</f>
        <v>3</v>
      </c>
      <c r="G77" s="85"/>
      <c r="H77" s="86">
        <f>G77*F77</f>
        <v>0</v>
      </c>
      <c r="I77" s="87"/>
    </row>
    <row r="78" spans="1:9" s="88" customFormat="1" ht="12.75">
      <c r="A78" s="82"/>
      <c r="B78" s="83">
        <v>8</v>
      </c>
      <c r="C78" s="83">
        <v>162301421</v>
      </c>
      <c r="D78" s="84" t="s">
        <v>144</v>
      </c>
      <c r="E78" s="83" t="s">
        <v>1</v>
      </c>
      <c r="F78" s="85">
        <v>3</v>
      </c>
      <c r="G78" s="85"/>
      <c r="H78" s="86">
        <f>G78*F78</f>
        <v>0</v>
      </c>
      <c r="I78" s="87"/>
    </row>
    <row r="79" spans="1:9" s="88" customFormat="1" ht="12.75">
      <c r="A79" s="82"/>
      <c r="B79" s="83">
        <v>9</v>
      </c>
      <c r="C79" s="83">
        <v>162301501</v>
      </c>
      <c r="D79" s="84" t="s">
        <v>141</v>
      </c>
      <c r="E79" s="83" t="s">
        <v>0</v>
      </c>
      <c r="F79" s="85">
        <f>+F72+F73</f>
        <v>703</v>
      </c>
      <c r="G79" s="85"/>
      <c r="H79" s="86">
        <f t="shared" si="0"/>
        <v>0</v>
      </c>
      <c r="I79" s="87"/>
    </row>
    <row r="80" spans="1:9" s="88" customFormat="1" ht="12.75">
      <c r="A80" s="82"/>
      <c r="B80" s="83">
        <v>10</v>
      </c>
      <c r="C80" s="83" t="s">
        <v>20</v>
      </c>
      <c r="D80" s="84" t="s">
        <v>210</v>
      </c>
      <c r="E80" s="83" t="s">
        <v>1</v>
      </c>
      <c r="F80" s="85">
        <v>1</v>
      </c>
      <c r="G80" s="85"/>
      <c r="H80" s="86">
        <f t="shared" si="0"/>
        <v>0</v>
      </c>
      <c r="I80" s="87"/>
    </row>
    <row r="81" spans="1:14" s="43" customFormat="1" ht="15" customHeight="1">
      <c r="A81" s="39"/>
      <c r="B81" s="39"/>
      <c r="C81" s="38"/>
      <c r="D81" s="38" t="s">
        <v>25</v>
      </c>
      <c r="E81" s="39"/>
      <c r="F81" s="40"/>
      <c r="G81" s="40"/>
      <c r="H81" s="41">
        <f>SUM(H72:H80)</f>
        <v>0</v>
      </c>
      <c r="I81" s="44"/>
      <c r="J81" s="39"/>
      <c r="K81" s="42"/>
      <c r="L81" s="39"/>
      <c r="N81" s="39"/>
    </row>
    <row r="82" spans="4:9" ht="12.75">
      <c r="D82" s="8"/>
      <c r="E82" s="9"/>
      <c r="F82" s="26"/>
      <c r="G82" s="10"/>
      <c r="I82" s="2"/>
    </row>
    <row r="83" spans="1:9" s="4" customFormat="1" ht="12.75">
      <c r="A83" s="20"/>
      <c r="B83" s="9"/>
      <c r="C83" s="20"/>
      <c r="D83" s="8"/>
      <c r="E83" s="9"/>
      <c r="F83" s="26"/>
      <c r="G83" s="26"/>
      <c r="H83" s="11"/>
      <c r="I83" s="22"/>
    </row>
    <row r="84" spans="2:9" ht="12.75">
      <c r="B84" s="39">
        <v>3</v>
      </c>
      <c r="D84" s="8"/>
      <c r="E84" s="9"/>
      <c r="F84" s="26"/>
      <c r="G84" s="10"/>
      <c r="I84" s="2"/>
    </row>
    <row r="85" spans="2:14" s="43" customFormat="1" ht="15" customHeight="1">
      <c r="B85" s="39" t="s">
        <v>3</v>
      </c>
      <c r="C85" s="38" t="s">
        <v>148</v>
      </c>
      <c r="D85" s="38"/>
      <c r="E85" s="39" t="s">
        <v>4</v>
      </c>
      <c r="F85" s="40" t="s">
        <v>5</v>
      </c>
      <c r="G85" s="40" t="s">
        <v>6</v>
      </c>
      <c r="H85" s="41" t="s">
        <v>7</v>
      </c>
      <c r="I85" s="44"/>
      <c r="J85" s="39"/>
      <c r="K85" s="42"/>
      <c r="L85" s="39"/>
      <c r="N85" s="39"/>
    </row>
    <row r="86" spans="1:8" s="88" customFormat="1" ht="25.5">
      <c r="A86" s="82"/>
      <c r="B86" s="83">
        <v>11</v>
      </c>
      <c r="C86" s="83">
        <v>184852313</v>
      </c>
      <c r="D86" s="84" t="s">
        <v>146</v>
      </c>
      <c r="E86" s="83" t="s">
        <v>1</v>
      </c>
      <c r="F86" s="85">
        <v>9</v>
      </c>
      <c r="G86" s="85"/>
      <c r="H86" s="86">
        <f aca="true" t="shared" si="1" ref="H86:H90">G86*F86</f>
        <v>0</v>
      </c>
    </row>
    <row r="87" spans="1:8" s="88" customFormat="1" ht="25.5">
      <c r="A87" s="82"/>
      <c r="B87" s="83">
        <v>12</v>
      </c>
      <c r="C87" s="83">
        <v>184852212</v>
      </c>
      <c r="D87" s="84" t="s">
        <v>147</v>
      </c>
      <c r="E87" s="83" t="s">
        <v>1</v>
      </c>
      <c r="F87" s="85">
        <v>2</v>
      </c>
      <c r="G87" s="85"/>
      <c r="H87" s="86">
        <f t="shared" si="1"/>
        <v>0</v>
      </c>
    </row>
    <row r="88" spans="1:8" s="88" customFormat="1" ht="25.5">
      <c r="A88" s="82"/>
      <c r="B88" s="83">
        <v>13</v>
      </c>
      <c r="C88" s="83">
        <v>184501181</v>
      </c>
      <c r="D88" s="84" t="s">
        <v>206</v>
      </c>
      <c r="E88" s="83" t="s">
        <v>0</v>
      </c>
      <c r="F88" s="85">
        <f>1*0.6</f>
        <v>0.6</v>
      </c>
      <c r="G88" s="85"/>
      <c r="H88" s="86">
        <f t="shared" si="1"/>
        <v>0</v>
      </c>
    </row>
    <row r="89" spans="1:9" s="88" customFormat="1" ht="12.75">
      <c r="A89" s="82"/>
      <c r="B89" s="83">
        <v>14</v>
      </c>
      <c r="C89" s="83" t="s">
        <v>20</v>
      </c>
      <c r="D89" s="84" t="s">
        <v>149</v>
      </c>
      <c r="E89" s="83" t="s">
        <v>1</v>
      </c>
      <c r="F89" s="85">
        <v>3</v>
      </c>
      <c r="G89" s="85"/>
      <c r="H89" s="86">
        <f t="shared" si="1"/>
        <v>0</v>
      </c>
      <c r="I89" s="87"/>
    </row>
    <row r="90" spans="1:9" s="88" customFormat="1" ht="12.75">
      <c r="A90" s="82"/>
      <c r="B90" s="83">
        <v>15</v>
      </c>
      <c r="C90" s="83" t="s">
        <v>20</v>
      </c>
      <c r="D90" s="84" t="s">
        <v>207</v>
      </c>
      <c r="E90" s="83" t="s">
        <v>1</v>
      </c>
      <c r="F90" s="85">
        <v>1</v>
      </c>
      <c r="G90" s="85"/>
      <c r="H90" s="86">
        <f t="shared" si="1"/>
        <v>0</v>
      </c>
      <c r="I90" s="87"/>
    </row>
    <row r="91" spans="1:14" s="43" customFormat="1" ht="15" customHeight="1">
      <c r="A91" s="39"/>
      <c r="B91" s="39"/>
      <c r="C91" s="38"/>
      <c r="D91" s="38" t="s">
        <v>145</v>
      </c>
      <c r="E91" s="39"/>
      <c r="F91" s="40"/>
      <c r="G91" s="40"/>
      <c r="H91" s="41">
        <f>SUM(H86:H90)</f>
        <v>0</v>
      </c>
      <c r="I91" s="44"/>
      <c r="J91" s="39"/>
      <c r="K91" s="42"/>
      <c r="L91" s="39"/>
      <c r="N91" s="39"/>
    </row>
    <row r="92" spans="1:256" ht="15" customHeight="1">
      <c r="A92" s="3"/>
      <c r="B92" s="9"/>
      <c r="C92" s="30"/>
      <c r="D92" s="8"/>
      <c r="E92" s="9"/>
      <c r="F92" s="26"/>
      <c r="G92" s="26"/>
      <c r="H92" s="11"/>
      <c r="I92" s="37"/>
      <c r="J92" s="35"/>
      <c r="K92" s="36"/>
      <c r="L92" s="19"/>
      <c r="M92" s="35"/>
      <c r="N92" s="23"/>
      <c r="O92" s="23"/>
      <c r="P92" s="4"/>
      <c r="Q92" s="23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9" s="4" customFormat="1" ht="12.75">
      <c r="A93" s="20"/>
      <c r="B93" s="9"/>
      <c r="C93" s="20"/>
      <c r="D93" s="8"/>
      <c r="E93" s="9"/>
      <c r="F93" s="26"/>
      <c r="G93" s="26"/>
      <c r="H93" s="11"/>
      <c r="I93" s="22"/>
    </row>
    <row r="94" spans="2:9" ht="12.75">
      <c r="B94" s="39">
        <v>4</v>
      </c>
      <c r="D94" s="8"/>
      <c r="E94" s="9"/>
      <c r="F94" s="26"/>
      <c r="G94" s="10"/>
      <c r="I94" s="2"/>
    </row>
    <row r="95" spans="2:14" s="43" customFormat="1" ht="15" customHeight="1">
      <c r="B95" s="39" t="s">
        <v>3</v>
      </c>
      <c r="C95" s="38" t="s">
        <v>37</v>
      </c>
      <c r="D95" s="38"/>
      <c r="E95" s="39" t="s">
        <v>4</v>
      </c>
      <c r="F95" s="40" t="s">
        <v>5</v>
      </c>
      <c r="G95" s="40" t="s">
        <v>6</v>
      </c>
      <c r="H95" s="41" t="s">
        <v>7</v>
      </c>
      <c r="I95" s="44"/>
      <c r="J95" s="39"/>
      <c r="K95" s="42"/>
      <c r="L95" s="39"/>
      <c r="N95" s="39"/>
    </row>
    <row r="96" spans="1:8" s="88" customFormat="1" ht="25.5">
      <c r="A96" s="82"/>
      <c r="B96" s="83">
        <v>16</v>
      </c>
      <c r="C96" s="83">
        <v>121101101</v>
      </c>
      <c r="D96" s="84" t="s">
        <v>151</v>
      </c>
      <c r="E96" s="83" t="s">
        <v>13</v>
      </c>
      <c r="F96" s="85">
        <f>+(295+190)*0.3*0.8</f>
        <v>116.4</v>
      </c>
      <c r="G96" s="85"/>
      <c r="H96" s="86">
        <f>+F96*G96</f>
        <v>0</v>
      </c>
    </row>
    <row r="97" spans="1:8" s="88" customFormat="1" ht="25.5">
      <c r="A97" s="82"/>
      <c r="B97" s="83">
        <v>17</v>
      </c>
      <c r="C97" s="83">
        <v>121101101</v>
      </c>
      <c r="D97" s="84" t="s">
        <v>150</v>
      </c>
      <c r="E97" s="83" t="s">
        <v>13</v>
      </c>
      <c r="F97" s="85">
        <f>+(178)*0.4*0.8</f>
        <v>56.96000000000001</v>
      </c>
      <c r="G97" s="85"/>
      <c r="H97" s="86">
        <f aca="true" t="shared" si="2" ref="H97:H105">+F97*G97</f>
        <v>0</v>
      </c>
    </row>
    <row r="98" spans="1:16" s="88" customFormat="1" ht="37.5" customHeight="1">
      <c r="A98" s="82"/>
      <c r="B98" s="83">
        <v>18</v>
      </c>
      <c r="C98" s="83">
        <v>121112012</v>
      </c>
      <c r="D98" s="84" t="s">
        <v>152</v>
      </c>
      <c r="E98" s="83" t="s">
        <v>13</v>
      </c>
      <c r="F98" s="85">
        <f>+(295+190)*0.3*0.2</f>
        <v>29.1</v>
      </c>
      <c r="G98" s="85"/>
      <c r="H98" s="86">
        <f t="shared" si="2"/>
        <v>0</v>
      </c>
      <c r="I98" s="93"/>
      <c r="P98" s="97"/>
    </row>
    <row r="99" spans="1:16" s="88" customFormat="1" ht="37.5" customHeight="1">
      <c r="A99" s="82"/>
      <c r="B99" s="83">
        <v>19</v>
      </c>
      <c r="C99" s="83">
        <v>121112012</v>
      </c>
      <c r="D99" s="84" t="s">
        <v>153</v>
      </c>
      <c r="E99" s="83" t="s">
        <v>13</v>
      </c>
      <c r="F99" s="85">
        <f>+(178)*0.4*0.2</f>
        <v>14.240000000000002</v>
      </c>
      <c r="G99" s="85"/>
      <c r="H99" s="86">
        <f t="shared" si="2"/>
        <v>0</v>
      </c>
      <c r="I99" s="93"/>
      <c r="P99" s="97"/>
    </row>
    <row r="100" spans="1:16" s="88" customFormat="1" ht="25.5">
      <c r="A100" s="82"/>
      <c r="B100" s="83">
        <v>20</v>
      </c>
      <c r="C100" s="83">
        <v>181301105</v>
      </c>
      <c r="D100" s="84" t="s">
        <v>135</v>
      </c>
      <c r="E100" s="83" t="s">
        <v>0</v>
      </c>
      <c r="F100" s="85">
        <f>+(178+295+190)</f>
        <v>663</v>
      </c>
      <c r="G100" s="85"/>
      <c r="H100" s="86">
        <f t="shared" si="2"/>
        <v>0</v>
      </c>
      <c r="I100" s="93"/>
      <c r="P100" s="97"/>
    </row>
    <row r="101" spans="1:16" s="88" customFormat="1" ht="25.5">
      <c r="A101" s="82"/>
      <c r="B101" s="83">
        <v>21</v>
      </c>
      <c r="C101" s="83">
        <v>181301105</v>
      </c>
      <c r="D101" s="84" t="s">
        <v>134</v>
      </c>
      <c r="E101" s="83" t="s">
        <v>0</v>
      </c>
      <c r="F101" s="85">
        <f>+(77+136+36)</f>
        <v>249</v>
      </c>
      <c r="G101" s="85"/>
      <c r="H101" s="86">
        <f t="shared" si="2"/>
        <v>0</v>
      </c>
      <c r="I101" s="93"/>
      <c r="P101" s="97"/>
    </row>
    <row r="102" spans="1:16" s="88" customFormat="1" ht="25.5">
      <c r="A102" s="82"/>
      <c r="B102" s="83">
        <v>22</v>
      </c>
      <c r="C102" s="83" t="s">
        <v>20</v>
      </c>
      <c r="D102" s="84" t="s">
        <v>137</v>
      </c>
      <c r="E102" s="83" t="s">
        <v>1</v>
      </c>
      <c r="F102" s="85">
        <v>2</v>
      </c>
      <c r="G102" s="85"/>
      <c r="H102" s="86">
        <f t="shared" si="2"/>
        <v>0</v>
      </c>
      <c r="I102" s="93"/>
      <c r="P102" s="97"/>
    </row>
    <row r="103" spans="1:16" s="88" customFormat="1" ht="12.75">
      <c r="A103" s="82"/>
      <c r="B103" s="83">
        <v>23</v>
      </c>
      <c r="C103" s="83" t="s">
        <v>20</v>
      </c>
      <c r="D103" s="84" t="s">
        <v>154</v>
      </c>
      <c r="E103" s="83" t="s">
        <v>8</v>
      </c>
      <c r="F103" s="85">
        <f>+(F96+F97+F98+F99)*1.4</f>
        <v>303.38</v>
      </c>
      <c r="G103" s="85"/>
      <c r="H103" s="86">
        <f t="shared" si="2"/>
        <v>0</v>
      </c>
      <c r="I103" s="93"/>
      <c r="P103" s="97"/>
    </row>
    <row r="104" spans="1:9" s="88" customFormat="1" ht="38.25">
      <c r="A104" s="82"/>
      <c r="B104" s="83">
        <v>24</v>
      </c>
      <c r="C104" s="83" t="s">
        <v>9</v>
      </c>
      <c r="D104" s="84" t="s">
        <v>229</v>
      </c>
      <c r="E104" s="83" t="s">
        <v>13</v>
      </c>
      <c r="F104" s="85">
        <f>+(178+295+190)*0.25</f>
        <v>165.75</v>
      </c>
      <c r="G104" s="85"/>
      <c r="H104" s="86">
        <f t="shared" si="2"/>
        <v>0</v>
      </c>
      <c r="I104" s="87"/>
    </row>
    <row r="105" spans="1:8" s="88" customFormat="1" ht="38.25">
      <c r="A105" s="82"/>
      <c r="B105" s="83">
        <v>25</v>
      </c>
      <c r="C105" s="83" t="s">
        <v>9</v>
      </c>
      <c r="D105" s="84" t="s">
        <v>220</v>
      </c>
      <c r="E105" s="83" t="s">
        <v>13</v>
      </c>
      <c r="F105" s="85">
        <f>+(77+136+36)*0.2</f>
        <v>49.800000000000004</v>
      </c>
      <c r="G105" s="85"/>
      <c r="H105" s="86">
        <f t="shared" si="2"/>
        <v>0</v>
      </c>
    </row>
    <row r="106" spans="1:14" s="43" customFormat="1" ht="15" customHeight="1">
      <c r="A106" s="39"/>
      <c r="B106" s="39"/>
      <c r="C106" s="38"/>
      <c r="D106" s="38" t="s">
        <v>36</v>
      </c>
      <c r="E106" s="39"/>
      <c r="F106" s="40"/>
      <c r="G106" s="40"/>
      <c r="H106" s="41">
        <f>SUM(H96:H105)</f>
        <v>0</v>
      </c>
      <c r="I106" s="44"/>
      <c r="J106" s="39"/>
      <c r="K106" s="42"/>
      <c r="L106" s="39"/>
      <c r="N106" s="39"/>
    </row>
    <row r="107" spans="4:9" ht="13.5" customHeight="1">
      <c r="D107" s="4"/>
      <c r="E107" s="20"/>
      <c r="F107" s="31"/>
      <c r="G107" s="31"/>
      <c r="H107" s="28"/>
      <c r="I107" s="2"/>
    </row>
    <row r="108" spans="1:9" s="4" customFormat="1" ht="12.75">
      <c r="A108" s="20"/>
      <c r="B108" s="9"/>
      <c r="C108" s="20"/>
      <c r="D108" s="8"/>
      <c r="E108" s="9"/>
      <c r="F108" s="26"/>
      <c r="G108" s="26"/>
      <c r="H108" s="11"/>
      <c r="I108" s="22"/>
    </row>
    <row r="109" spans="1:9" s="4" customFormat="1" ht="12.75">
      <c r="A109" s="20"/>
      <c r="B109" s="39">
        <v>5</v>
      </c>
      <c r="C109" s="20"/>
      <c r="D109" s="8"/>
      <c r="E109" s="9"/>
      <c r="F109" s="24"/>
      <c r="G109" s="26"/>
      <c r="H109" s="11"/>
      <c r="I109" s="23"/>
    </row>
    <row r="110" spans="2:14" s="43" customFormat="1" ht="15" customHeight="1">
      <c r="B110" s="39" t="s">
        <v>3</v>
      </c>
      <c r="C110" s="38" t="s">
        <v>40</v>
      </c>
      <c r="D110" s="38"/>
      <c r="E110" s="39" t="s">
        <v>4</v>
      </c>
      <c r="F110" s="40" t="s">
        <v>5</v>
      </c>
      <c r="G110" s="40" t="s">
        <v>6</v>
      </c>
      <c r="H110" s="41" t="s">
        <v>7</v>
      </c>
      <c r="I110" s="44"/>
      <c r="J110" s="39"/>
      <c r="K110" s="42"/>
      <c r="L110" s="39"/>
      <c r="N110" s="39"/>
    </row>
    <row r="111" spans="1:8" s="88" customFormat="1" ht="25.5">
      <c r="A111" s="82"/>
      <c r="B111" s="83">
        <v>26</v>
      </c>
      <c r="C111" s="83">
        <v>184802111</v>
      </c>
      <c r="D111" s="84" t="s">
        <v>105</v>
      </c>
      <c r="E111" s="83" t="s">
        <v>0</v>
      </c>
      <c r="F111" s="85">
        <f>+(217+77+136)</f>
        <v>430</v>
      </c>
      <c r="G111" s="85"/>
      <c r="H111" s="86">
        <f>+F111*G111</f>
        <v>0</v>
      </c>
    </row>
    <row r="112" spans="1:8" s="88" customFormat="1" ht="25.5">
      <c r="A112" s="82"/>
      <c r="B112" s="83">
        <v>27</v>
      </c>
      <c r="C112" s="83">
        <v>181111111</v>
      </c>
      <c r="D112" s="84" t="s">
        <v>215</v>
      </c>
      <c r="E112" s="83" t="s">
        <v>0</v>
      </c>
      <c r="F112" s="85">
        <f>+F111</f>
        <v>430</v>
      </c>
      <c r="G112" s="85"/>
      <c r="H112" s="86">
        <f aca="true" t="shared" si="3" ref="H112:H122">+F112*G112</f>
        <v>0</v>
      </c>
    </row>
    <row r="113" spans="1:9" s="88" customFormat="1" ht="12.75">
      <c r="A113" s="82"/>
      <c r="B113" s="83">
        <v>28</v>
      </c>
      <c r="C113" s="83">
        <v>183403114</v>
      </c>
      <c r="D113" s="84" t="s">
        <v>107</v>
      </c>
      <c r="E113" s="83" t="s">
        <v>0</v>
      </c>
      <c r="F113" s="85">
        <f>+(F112)*2</f>
        <v>860</v>
      </c>
      <c r="G113" s="85"/>
      <c r="H113" s="86">
        <f t="shared" si="3"/>
        <v>0</v>
      </c>
      <c r="I113" s="87"/>
    </row>
    <row r="114" spans="1:9" s="88" customFormat="1" ht="12.75">
      <c r="A114" s="82"/>
      <c r="B114" s="83">
        <v>29</v>
      </c>
      <c r="C114" s="83">
        <v>183403153</v>
      </c>
      <c r="D114" s="84" t="s">
        <v>108</v>
      </c>
      <c r="E114" s="83" t="s">
        <v>0</v>
      </c>
      <c r="F114" s="85">
        <f>+F111*2</f>
        <v>860</v>
      </c>
      <c r="G114" s="85"/>
      <c r="H114" s="86">
        <f t="shared" si="3"/>
        <v>0</v>
      </c>
      <c r="I114" s="87"/>
    </row>
    <row r="115" spans="1:8" s="88" customFormat="1" ht="25.5">
      <c r="A115" s="82"/>
      <c r="B115" s="83">
        <v>30</v>
      </c>
      <c r="C115" s="83">
        <v>183111111</v>
      </c>
      <c r="D115" s="84" t="s">
        <v>67</v>
      </c>
      <c r="E115" s="83" t="s">
        <v>1</v>
      </c>
      <c r="F115" s="85">
        <f>+F116+F117</f>
        <v>2300</v>
      </c>
      <c r="G115" s="85"/>
      <c r="H115" s="86">
        <f t="shared" si="3"/>
        <v>0</v>
      </c>
    </row>
    <row r="116" spans="1:8" s="88" customFormat="1" ht="25.5">
      <c r="A116" s="82"/>
      <c r="B116" s="83">
        <v>31</v>
      </c>
      <c r="C116" s="83">
        <v>183211313</v>
      </c>
      <c r="D116" s="84" t="s">
        <v>65</v>
      </c>
      <c r="E116" s="83" t="s">
        <v>1</v>
      </c>
      <c r="F116" s="85">
        <f>+(300+150+150)</f>
        <v>600</v>
      </c>
      <c r="G116" s="85"/>
      <c r="H116" s="86">
        <f t="shared" si="3"/>
        <v>0</v>
      </c>
    </row>
    <row r="117" spans="1:8" s="88" customFormat="1" ht="25.5">
      <c r="A117" s="82"/>
      <c r="B117" s="83">
        <v>32</v>
      </c>
      <c r="C117" s="83">
        <v>183211313</v>
      </c>
      <c r="D117" s="84" t="s">
        <v>66</v>
      </c>
      <c r="E117" s="83" t="s">
        <v>1</v>
      </c>
      <c r="F117" s="85">
        <v>1700</v>
      </c>
      <c r="G117" s="85"/>
      <c r="H117" s="86">
        <f t="shared" si="3"/>
        <v>0</v>
      </c>
    </row>
    <row r="118" spans="1:9" s="93" customFormat="1" ht="12.75">
      <c r="A118" s="82"/>
      <c r="B118" s="83"/>
      <c r="C118" s="89"/>
      <c r="D118" s="90" t="s">
        <v>28</v>
      </c>
      <c r="E118" s="89"/>
      <c r="F118" s="91"/>
      <c r="G118" s="91"/>
      <c r="H118" s="86">
        <f t="shared" si="3"/>
        <v>0</v>
      </c>
      <c r="I118" s="92"/>
    </row>
    <row r="119" spans="1:9" s="88" customFormat="1" ht="12.75">
      <c r="A119" s="82"/>
      <c r="B119" s="83">
        <v>33</v>
      </c>
      <c r="C119" s="83" t="s">
        <v>29</v>
      </c>
      <c r="D119" s="84" t="s">
        <v>68</v>
      </c>
      <c r="E119" s="83" t="s">
        <v>1</v>
      </c>
      <c r="F119" s="85">
        <v>300</v>
      </c>
      <c r="G119" s="85"/>
      <c r="H119" s="86">
        <f t="shared" si="3"/>
        <v>0</v>
      </c>
      <c r="I119" s="87"/>
    </row>
    <row r="120" spans="1:9" s="88" customFormat="1" ht="12.75">
      <c r="A120" s="82"/>
      <c r="B120" s="83">
        <v>34</v>
      </c>
      <c r="C120" s="83" t="s">
        <v>30</v>
      </c>
      <c r="D120" s="84" t="s">
        <v>62</v>
      </c>
      <c r="E120" s="83" t="s">
        <v>1</v>
      </c>
      <c r="F120" s="85">
        <v>150</v>
      </c>
      <c r="G120" s="85"/>
      <c r="H120" s="86">
        <f t="shared" si="3"/>
        <v>0</v>
      </c>
      <c r="I120" s="87"/>
    </row>
    <row r="121" spans="1:9" s="88" customFormat="1" ht="12.75">
      <c r="A121" s="82"/>
      <c r="B121" s="83">
        <v>35</v>
      </c>
      <c r="C121" s="83" t="s">
        <v>31</v>
      </c>
      <c r="D121" s="84" t="s">
        <v>63</v>
      </c>
      <c r="E121" s="83" t="s">
        <v>1</v>
      </c>
      <c r="F121" s="85">
        <v>150</v>
      </c>
      <c r="G121" s="85"/>
      <c r="H121" s="86">
        <f t="shared" si="3"/>
        <v>0</v>
      </c>
      <c r="I121" s="87"/>
    </row>
    <row r="122" spans="1:9" s="88" customFormat="1" ht="12.75">
      <c r="A122" s="82"/>
      <c r="B122" s="83">
        <v>36</v>
      </c>
      <c r="C122" s="83" t="s">
        <v>32</v>
      </c>
      <c r="D122" s="84" t="s">
        <v>64</v>
      </c>
      <c r="E122" s="83" t="s">
        <v>1</v>
      </c>
      <c r="F122" s="85">
        <v>8500</v>
      </c>
      <c r="G122" s="85"/>
      <c r="H122" s="86">
        <f t="shared" si="3"/>
        <v>0</v>
      </c>
      <c r="I122" s="87"/>
    </row>
    <row r="123" spans="1:14" s="43" customFormat="1" ht="15" customHeight="1">
      <c r="A123" s="39"/>
      <c r="B123" s="39"/>
      <c r="C123" s="38"/>
      <c r="D123" s="38" t="s">
        <v>59</v>
      </c>
      <c r="E123" s="39"/>
      <c r="F123" s="40"/>
      <c r="G123" s="40"/>
      <c r="H123" s="41">
        <f>SUM(H111:H122)</f>
        <v>0</v>
      </c>
      <c r="I123" s="44"/>
      <c r="J123" s="39"/>
      <c r="K123" s="42"/>
      <c r="L123" s="39"/>
      <c r="N123" s="39"/>
    </row>
    <row r="124" spans="1:14" s="43" customFormat="1" ht="15" customHeight="1">
      <c r="A124" s="39"/>
      <c r="B124" s="39"/>
      <c r="C124" s="38"/>
      <c r="D124" s="38"/>
      <c r="E124" s="39"/>
      <c r="F124" s="40"/>
      <c r="G124" s="40"/>
      <c r="H124" s="41"/>
      <c r="I124" s="44"/>
      <c r="J124" s="39"/>
      <c r="K124" s="42"/>
      <c r="L124" s="39"/>
      <c r="N124" s="39"/>
    </row>
    <row r="125" spans="1:9" s="4" customFormat="1" ht="12.75">
      <c r="A125" s="20"/>
      <c r="B125" s="9"/>
      <c r="C125" s="20"/>
      <c r="D125" s="8"/>
      <c r="E125" s="9"/>
      <c r="F125" s="26"/>
      <c r="G125" s="26"/>
      <c r="H125" s="11"/>
      <c r="I125" s="22"/>
    </row>
    <row r="126" spans="1:9" s="32" customFormat="1" ht="12.75">
      <c r="A126" s="9"/>
      <c r="B126" s="39">
        <v>6</v>
      </c>
      <c r="C126" s="9"/>
      <c r="D126" s="29"/>
      <c r="E126" s="9"/>
      <c r="F126" s="24"/>
      <c r="G126" s="26"/>
      <c r="H126" s="11"/>
      <c r="I126" s="23"/>
    </row>
    <row r="127" spans="2:14" s="43" customFormat="1" ht="15" customHeight="1">
      <c r="B127" s="39" t="s">
        <v>3</v>
      </c>
      <c r="C127" s="38" t="s">
        <v>208</v>
      </c>
      <c r="D127" s="38"/>
      <c r="E127" s="39" t="s">
        <v>4</v>
      </c>
      <c r="F127" s="40" t="s">
        <v>5</v>
      </c>
      <c r="G127" s="40" t="s">
        <v>6</v>
      </c>
      <c r="H127" s="41" t="s">
        <v>7</v>
      </c>
      <c r="I127" s="44"/>
      <c r="J127" s="39"/>
      <c r="K127" s="42"/>
      <c r="L127" s="39"/>
      <c r="N127" s="39"/>
    </row>
    <row r="128" spans="1:8" s="88" customFormat="1" ht="25.5">
      <c r="A128" s="82"/>
      <c r="B128" s="83">
        <v>37</v>
      </c>
      <c r="C128" s="83">
        <v>184802111</v>
      </c>
      <c r="D128" s="84" t="s">
        <v>124</v>
      </c>
      <c r="E128" s="83" t="s">
        <v>0</v>
      </c>
      <c r="F128" s="85">
        <f>+(7+40)</f>
        <v>47</v>
      </c>
      <c r="G128" s="85"/>
      <c r="H128" s="86">
        <f>G128*F128</f>
        <v>0</v>
      </c>
    </row>
    <row r="129" spans="1:8" s="88" customFormat="1" ht="25.5">
      <c r="A129" s="82"/>
      <c r="B129" s="83">
        <v>38</v>
      </c>
      <c r="C129" s="83">
        <v>184802211</v>
      </c>
      <c r="D129" s="84" t="s">
        <v>125</v>
      </c>
      <c r="E129" s="83" t="s">
        <v>0</v>
      </c>
      <c r="F129" s="85">
        <f>+(67+39+30)</f>
        <v>136</v>
      </c>
      <c r="G129" s="85"/>
      <c r="H129" s="86">
        <f>G129*F129</f>
        <v>0</v>
      </c>
    </row>
    <row r="130" spans="1:8" s="88" customFormat="1" ht="25.5">
      <c r="A130" s="82"/>
      <c r="B130" s="83">
        <v>39</v>
      </c>
      <c r="C130" s="83">
        <v>183205121</v>
      </c>
      <c r="D130" s="84" t="s">
        <v>126</v>
      </c>
      <c r="E130" s="83" t="s">
        <v>0</v>
      </c>
      <c r="F130" s="85">
        <f>+F128</f>
        <v>47</v>
      </c>
      <c r="G130" s="85"/>
      <c r="H130" s="86">
        <f aca="true" t="shared" si="4" ref="H130:H133">+F130*G130</f>
        <v>0</v>
      </c>
    </row>
    <row r="131" spans="1:8" s="88" customFormat="1" ht="25.5">
      <c r="A131" s="82"/>
      <c r="B131" s="83">
        <v>40</v>
      </c>
      <c r="C131" s="83">
        <v>183205141</v>
      </c>
      <c r="D131" s="84" t="s">
        <v>127</v>
      </c>
      <c r="E131" s="83" t="s">
        <v>0</v>
      </c>
      <c r="F131" s="85">
        <f>+F129</f>
        <v>136</v>
      </c>
      <c r="G131" s="85"/>
      <c r="H131" s="86">
        <f t="shared" si="4"/>
        <v>0</v>
      </c>
    </row>
    <row r="132" spans="1:8" s="88" customFormat="1" ht="25.5">
      <c r="A132" s="82"/>
      <c r="B132" s="83">
        <v>41</v>
      </c>
      <c r="C132" s="83">
        <v>183111214</v>
      </c>
      <c r="D132" s="84" t="s">
        <v>82</v>
      </c>
      <c r="E132" s="83" t="s">
        <v>1</v>
      </c>
      <c r="F132" s="85">
        <f>+(27+120)</f>
        <v>147</v>
      </c>
      <c r="G132" s="85"/>
      <c r="H132" s="86">
        <f t="shared" si="4"/>
        <v>0</v>
      </c>
    </row>
    <row r="133" spans="1:8" s="88" customFormat="1" ht="25.5">
      <c r="A133" s="82"/>
      <c r="B133" s="83">
        <v>42</v>
      </c>
      <c r="C133" s="83">
        <v>183112214</v>
      </c>
      <c r="D133" s="84" t="s">
        <v>83</v>
      </c>
      <c r="E133" s="83" t="s">
        <v>1</v>
      </c>
      <c r="F133" s="85">
        <f>+(200+120+90)</f>
        <v>410</v>
      </c>
      <c r="G133" s="85"/>
      <c r="H133" s="86">
        <f t="shared" si="4"/>
        <v>0</v>
      </c>
    </row>
    <row r="134" spans="1:8" s="88" customFormat="1" ht="25.5">
      <c r="A134" s="82"/>
      <c r="B134" s="83">
        <v>43</v>
      </c>
      <c r="C134" s="83">
        <v>184102111</v>
      </c>
      <c r="D134" s="84" t="s">
        <v>78</v>
      </c>
      <c r="E134" s="83" t="s">
        <v>1</v>
      </c>
      <c r="F134" s="85">
        <f>+F132</f>
        <v>147</v>
      </c>
      <c r="G134" s="85"/>
      <c r="H134" s="86">
        <f aca="true" t="shared" si="5" ref="H134:H135">G134*F134</f>
        <v>0</v>
      </c>
    </row>
    <row r="135" spans="1:8" s="88" customFormat="1" ht="25.5">
      <c r="A135" s="82"/>
      <c r="B135" s="83">
        <v>44</v>
      </c>
      <c r="C135" s="83">
        <v>184102121</v>
      </c>
      <c r="D135" s="84" t="s">
        <v>79</v>
      </c>
      <c r="E135" s="83" t="s">
        <v>1</v>
      </c>
      <c r="F135" s="85">
        <f>+F133</f>
        <v>410</v>
      </c>
      <c r="G135" s="85"/>
      <c r="H135" s="86">
        <f t="shared" si="5"/>
        <v>0</v>
      </c>
    </row>
    <row r="136" spans="1:9" s="88" customFormat="1" ht="37.5" customHeight="1">
      <c r="A136" s="82"/>
      <c r="B136" s="83">
        <v>45</v>
      </c>
      <c r="C136" s="83">
        <v>185802114</v>
      </c>
      <c r="D136" s="84" t="s">
        <v>103</v>
      </c>
      <c r="E136" s="83" t="s">
        <v>8</v>
      </c>
      <c r="F136" s="94">
        <f>+F132*30*0.001*0.001</f>
        <v>0.00441</v>
      </c>
      <c r="G136" s="85"/>
      <c r="H136" s="86">
        <f>G136*F136</f>
        <v>0</v>
      </c>
      <c r="I136" s="87"/>
    </row>
    <row r="137" spans="1:9" s="88" customFormat="1" ht="37.5" customHeight="1">
      <c r="A137" s="82"/>
      <c r="B137" s="83">
        <v>46</v>
      </c>
      <c r="C137" s="83">
        <v>185802124</v>
      </c>
      <c r="D137" s="84" t="s">
        <v>102</v>
      </c>
      <c r="E137" s="83" t="s">
        <v>8</v>
      </c>
      <c r="F137" s="94">
        <f>+(F133*30)*0.001*0.001</f>
        <v>0.0123</v>
      </c>
      <c r="G137" s="85"/>
      <c r="H137" s="86">
        <f>+F137*G137</f>
        <v>0</v>
      </c>
      <c r="I137" s="87"/>
    </row>
    <row r="138" spans="1:8" s="88" customFormat="1" ht="25.5">
      <c r="A138" s="82"/>
      <c r="B138" s="83">
        <v>47</v>
      </c>
      <c r="C138" s="83">
        <v>185851121</v>
      </c>
      <c r="D138" s="84" t="s">
        <v>84</v>
      </c>
      <c r="E138" s="83" t="s">
        <v>13</v>
      </c>
      <c r="F138" s="85">
        <f>+(147+410)*0.02</f>
        <v>11.14</v>
      </c>
      <c r="G138" s="85"/>
      <c r="H138" s="86">
        <f aca="true" t="shared" si="6" ref="H138:H147">+F138*G138</f>
        <v>0</v>
      </c>
    </row>
    <row r="139" spans="1:8" s="88" customFormat="1" ht="25.5">
      <c r="A139" s="82"/>
      <c r="B139" s="83">
        <v>48</v>
      </c>
      <c r="C139" s="83">
        <v>185851129</v>
      </c>
      <c r="D139" s="84" t="s">
        <v>85</v>
      </c>
      <c r="E139" s="83" t="s">
        <v>13</v>
      </c>
      <c r="F139" s="85">
        <f>+F138</f>
        <v>11.14</v>
      </c>
      <c r="G139" s="85"/>
      <c r="H139" s="86">
        <f t="shared" si="6"/>
        <v>0</v>
      </c>
    </row>
    <row r="140" spans="1:8" s="88" customFormat="1" ht="25.5">
      <c r="A140" s="82"/>
      <c r="B140" s="83">
        <v>49</v>
      </c>
      <c r="C140" s="83">
        <v>184911421</v>
      </c>
      <c r="D140" s="84" t="s">
        <v>128</v>
      </c>
      <c r="E140" s="83" t="s">
        <v>0</v>
      </c>
      <c r="F140" s="85">
        <v>7</v>
      </c>
      <c r="G140" s="85"/>
      <c r="H140" s="86">
        <f t="shared" si="6"/>
        <v>0</v>
      </c>
    </row>
    <row r="141" spans="1:8" s="88" customFormat="1" ht="25.5">
      <c r="A141" s="82"/>
      <c r="B141" s="83">
        <v>50</v>
      </c>
      <c r="C141" s="83">
        <v>182111111</v>
      </c>
      <c r="D141" s="84" t="s">
        <v>129</v>
      </c>
      <c r="E141" s="83" t="s">
        <v>0</v>
      </c>
      <c r="F141" s="85">
        <f>+(40+67+39+30)</f>
        <v>176</v>
      </c>
      <c r="G141" s="85"/>
      <c r="H141" s="86">
        <f t="shared" si="6"/>
        <v>0</v>
      </c>
    </row>
    <row r="142" spans="1:8" s="88" customFormat="1" ht="12.75">
      <c r="A142" s="82"/>
      <c r="B142" s="83">
        <v>51</v>
      </c>
      <c r="C142" s="83">
        <v>998231311</v>
      </c>
      <c r="D142" s="84" t="s">
        <v>90</v>
      </c>
      <c r="E142" s="83" t="s">
        <v>8</v>
      </c>
      <c r="F142" s="85">
        <f>+F136+F137+F145*0.3+F146*0.00035+F147/100*0.002</f>
        <v>0.31863</v>
      </c>
      <c r="G142" s="85"/>
      <c r="H142" s="86">
        <f>+F142*G142</f>
        <v>0</v>
      </c>
    </row>
    <row r="143" spans="1:9" s="88" customFormat="1" ht="25.5">
      <c r="A143" s="82"/>
      <c r="B143" s="83">
        <v>52</v>
      </c>
      <c r="C143" s="83" t="s">
        <v>9</v>
      </c>
      <c r="D143" s="84" t="s">
        <v>230</v>
      </c>
      <c r="E143" s="83" t="s">
        <v>13</v>
      </c>
      <c r="F143" s="85">
        <f>+(147+410)*0.02*0.5</f>
        <v>5.57</v>
      </c>
      <c r="G143" s="85"/>
      <c r="H143" s="86">
        <f t="shared" si="6"/>
        <v>0</v>
      </c>
      <c r="I143" s="87"/>
    </row>
    <row r="144" spans="1:8" s="88" customFormat="1" ht="25.5">
      <c r="A144" s="82"/>
      <c r="B144" s="83">
        <v>53</v>
      </c>
      <c r="C144" s="83" t="s">
        <v>9</v>
      </c>
      <c r="D144" s="84" t="s">
        <v>100</v>
      </c>
      <c r="E144" s="83" t="s">
        <v>10</v>
      </c>
      <c r="F144" s="85">
        <f>+(410+147)*30*0.001</f>
        <v>16.71</v>
      </c>
      <c r="G144" s="85"/>
      <c r="H144" s="86">
        <f>+F144*G144</f>
        <v>0</v>
      </c>
    </row>
    <row r="145" spans="1:9" s="88" customFormat="1" ht="12.75">
      <c r="A145" s="82"/>
      <c r="B145" s="83">
        <v>54</v>
      </c>
      <c r="C145" s="83" t="s">
        <v>9</v>
      </c>
      <c r="D145" s="84" t="s">
        <v>16</v>
      </c>
      <c r="E145" s="83" t="s">
        <v>13</v>
      </c>
      <c r="F145" s="85">
        <f>+(F140)*0.1</f>
        <v>0.7000000000000001</v>
      </c>
      <c r="G145" s="85"/>
      <c r="H145" s="86">
        <f t="shared" si="6"/>
        <v>0</v>
      </c>
      <c r="I145" s="87"/>
    </row>
    <row r="146" spans="1:8" s="88" customFormat="1" ht="25.5">
      <c r="A146" s="82"/>
      <c r="B146" s="83">
        <v>55</v>
      </c>
      <c r="C146" s="83" t="s">
        <v>9</v>
      </c>
      <c r="D146" s="84" t="s">
        <v>88</v>
      </c>
      <c r="E146" s="83" t="s">
        <v>0</v>
      </c>
      <c r="F146" s="85">
        <f>F141*1.2</f>
        <v>211.2</v>
      </c>
      <c r="G146" s="85"/>
      <c r="H146" s="86">
        <f t="shared" si="6"/>
        <v>0</v>
      </c>
    </row>
    <row r="147" spans="1:8" s="88" customFormat="1" ht="25.5">
      <c r="A147" s="82"/>
      <c r="B147" s="83">
        <v>56</v>
      </c>
      <c r="C147" s="83" t="s">
        <v>9</v>
      </c>
      <c r="D147" s="84" t="s">
        <v>89</v>
      </c>
      <c r="E147" s="83" t="s">
        <v>1</v>
      </c>
      <c r="F147" s="85">
        <v>900</v>
      </c>
      <c r="G147" s="85"/>
      <c r="H147" s="86">
        <f t="shared" si="6"/>
        <v>0</v>
      </c>
    </row>
    <row r="148" spans="1:9" s="88" customFormat="1" ht="12.75">
      <c r="A148" s="82"/>
      <c r="B148" s="83">
        <v>57</v>
      </c>
      <c r="C148" s="83" t="s">
        <v>9</v>
      </c>
      <c r="D148" s="84" t="s">
        <v>86</v>
      </c>
      <c r="E148" s="83" t="s">
        <v>87</v>
      </c>
      <c r="F148" s="85">
        <f>10*(F128+F129)/10000</f>
        <v>0.183</v>
      </c>
      <c r="G148" s="85"/>
      <c r="H148" s="86">
        <f aca="true" t="shared" si="7" ref="H148">G148*F148</f>
        <v>0</v>
      </c>
      <c r="I148" s="87"/>
    </row>
    <row r="149" spans="1:9" s="93" customFormat="1" ht="12.75">
      <c r="A149" s="82"/>
      <c r="B149" s="89"/>
      <c r="C149" s="89"/>
      <c r="D149" s="90" t="s">
        <v>22</v>
      </c>
      <c r="E149" s="89"/>
      <c r="F149" s="91"/>
      <c r="G149" s="91"/>
      <c r="H149" s="95"/>
      <c r="I149" s="92"/>
    </row>
    <row r="150" spans="1:9" s="88" customFormat="1" ht="12.75">
      <c r="A150" s="82"/>
      <c r="B150" s="83">
        <v>58</v>
      </c>
      <c r="C150" s="83" t="s">
        <v>33</v>
      </c>
      <c r="D150" s="84" t="s">
        <v>70</v>
      </c>
      <c r="E150" s="83" t="s">
        <v>1</v>
      </c>
      <c r="F150" s="85">
        <v>27</v>
      </c>
      <c r="G150" s="85"/>
      <c r="H150" s="86">
        <f aca="true" t="shared" si="8" ref="H150:H151">+F150*G150</f>
        <v>0</v>
      </c>
      <c r="I150" s="87"/>
    </row>
    <row r="151" spans="1:9" s="88" customFormat="1" ht="12.75">
      <c r="A151" s="82"/>
      <c r="B151" s="83">
        <v>59</v>
      </c>
      <c r="C151" s="83" t="s">
        <v>76</v>
      </c>
      <c r="D151" s="84" t="s">
        <v>27</v>
      </c>
      <c r="E151" s="83" t="s">
        <v>1</v>
      </c>
      <c r="F151" s="85">
        <v>530</v>
      </c>
      <c r="G151" s="85"/>
      <c r="H151" s="86">
        <f t="shared" si="8"/>
        <v>0</v>
      </c>
      <c r="I151" s="87"/>
    </row>
    <row r="152" spans="1:14" s="43" customFormat="1" ht="15" customHeight="1">
      <c r="A152" s="39"/>
      <c r="B152" s="39"/>
      <c r="C152" s="38"/>
      <c r="D152" s="38" t="s">
        <v>95</v>
      </c>
      <c r="E152" s="39"/>
      <c r="F152" s="40"/>
      <c r="G152" s="40"/>
      <c r="H152" s="41">
        <f>SUM(H128:H151)</f>
        <v>0</v>
      </c>
      <c r="I152" s="44"/>
      <c r="J152" s="39"/>
      <c r="K152" s="42"/>
      <c r="L152" s="39"/>
      <c r="N152" s="39"/>
    </row>
    <row r="153" spans="1:9" s="4" customFormat="1" ht="12.75">
      <c r="A153" s="20"/>
      <c r="B153" s="39">
        <v>7</v>
      </c>
      <c r="C153" s="20"/>
      <c r="D153" s="8"/>
      <c r="E153" s="9"/>
      <c r="F153" s="26"/>
      <c r="G153" s="26"/>
      <c r="H153" s="11"/>
      <c r="I153" s="22"/>
    </row>
    <row r="154" spans="2:14" s="43" customFormat="1" ht="15" customHeight="1">
      <c r="B154" s="39" t="s">
        <v>3</v>
      </c>
      <c r="C154" s="38" t="s">
        <v>209</v>
      </c>
      <c r="D154" s="38"/>
      <c r="E154" s="39" t="s">
        <v>4</v>
      </c>
      <c r="F154" s="40" t="s">
        <v>5</v>
      </c>
      <c r="G154" s="40" t="s">
        <v>6</v>
      </c>
      <c r="H154" s="41" t="s">
        <v>7</v>
      </c>
      <c r="I154" s="44"/>
      <c r="J154" s="39"/>
      <c r="K154" s="42"/>
      <c r="L154" s="39"/>
      <c r="N154" s="39"/>
    </row>
    <row r="155" spans="1:8" s="88" customFormat="1" ht="25.5">
      <c r="A155" s="82"/>
      <c r="B155" s="83">
        <v>60</v>
      </c>
      <c r="C155" s="83">
        <v>183205112</v>
      </c>
      <c r="D155" s="84" t="s">
        <v>131</v>
      </c>
      <c r="E155" s="83" t="s">
        <v>0</v>
      </c>
      <c r="F155" s="85">
        <f>+(178+295+190)</f>
        <v>663</v>
      </c>
      <c r="G155" s="85"/>
      <c r="H155" s="86">
        <f aca="true" t="shared" si="9" ref="H155">+F155*G155</f>
        <v>0</v>
      </c>
    </row>
    <row r="156" spans="1:8" s="88" customFormat="1" ht="25.5">
      <c r="A156" s="82"/>
      <c r="B156" s="83">
        <v>61</v>
      </c>
      <c r="C156" s="83">
        <v>183111114</v>
      </c>
      <c r="D156" s="84" t="s">
        <v>91</v>
      </c>
      <c r="E156" s="83" t="s">
        <v>1</v>
      </c>
      <c r="F156" s="85">
        <f>+F170</f>
        <v>340</v>
      </c>
      <c r="G156" s="85"/>
      <c r="H156" s="86">
        <f aca="true" t="shared" si="10" ref="H156:H157">+F156*G156</f>
        <v>0</v>
      </c>
    </row>
    <row r="157" spans="1:9" s="88" customFormat="1" ht="37.5" customHeight="1">
      <c r="A157" s="82"/>
      <c r="B157" s="83">
        <v>62</v>
      </c>
      <c r="C157" s="83">
        <v>183111214</v>
      </c>
      <c r="D157" s="84" t="s">
        <v>92</v>
      </c>
      <c r="E157" s="83" t="s">
        <v>1</v>
      </c>
      <c r="F157" s="85">
        <f>+(280+780+800)</f>
        <v>1860</v>
      </c>
      <c r="G157" s="85"/>
      <c r="H157" s="86">
        <f t="shared" si="10"/>
        <v>0</v>
      </c>
      <c r="I157" s="87"/>
    </row>
    <row r="158" spans="1:8" s="88" customFormat="1" ht="25.5">
      <c r="A158" s="82"/>
      <c r="B158" s="83">
        <v>63</v>
      </c>
      <c r="C158" s="83">
        <v>184102111</v>
      </c>
      <c r="D158" s="84" t="s">
        <v>78</v>
      </c>
      <c r="E158" s="83" t="s">
        <v>1</v>
      </c>
      <c r="F158" s="85">
        <f>+F170</f>
        <v>340</v>
      </c>
      <c r="G158" s="85"/>
      <c r="H158" s="86">
        <f aca="true" t="shared" si="11" ref="H158">G158*F158</f>
        <v>0</v>
      </c>
    </row>
    <row r="159" spans="1:8" s="88" customFormat="1" ht="25.5">
      <c r="A159" s="82"/>
      <c r="B159" s="83">
        <v>64</v>
      </c>
      <c r="C159" s="83">
        <v>184102211</v>
      </c>
      <c r="D159" s="84" t="s">
        <v>77</v>
      </c>
      <c r="E159" s="83" t="s">
        <v>1</v>
      </c>
      <c r="F159" s="85">
        <f>+F171+F172+F173</f>
        <v>1860</v>
      </c>
      <c r="G159" s="85"/>
      <c r="H159" s="86">
        <f aca="true" t="shared" si="12" ref="H159">G159*F159</f>
        <v>0</v>
      </c>
    </row>
    <row r="160" spans="1:9" s="88" customFormat="1" ht="37.5" customHeight="1">
      <c r="A160" s="82"/>
      <c r="B160" s="83">
        <v>65</v>
      </c>
      <c r="C160" s="83">
        <v>185802114</v>
      </c>
      <c r="D160" s="84" t="s">
        <v>101</v>
      </c>
      <c r="E160" s="83" t="s">
        <v>8</v>
      </c>
      <c r="F160" s="94">
        <f>+F167*0.001</f>
        <v>0.066</v>
      </c>
      <c r="G160" s="85"/>
      <c r="H160" s="86">
        <f>G160*F160</f>
        <v>0</v>
      </c>
      <c r="I160" s="87"/>
    </row>
    <row r="161" spans="1:9" s="88" customFormat="1" ht="12.75">
      <c r="A161" s="82"/>
      <c r="B161" s="83">
        <v>66</v>
      </c>
      <c r="C161" s="83">
        <v>184851421</v>
      </c>
      <c r="D161" s="84" t="s">
        <v>132</v>
      </c>
      <c r="E161" s="83" t="s">
        <v>1</v>
      </c>
      <c r="F161" s="85">
        <f>+F157</f>
        <v>1860</v>
      </c>
      <c r="G161" s="85"/>
      <c r="H161" s="86">
        <f aca="true" t="shared" si="13" ref="H161:H173">+F161*G161</f>
        <v>0</v>
      </c>
      <c r="I161" s="87"/>
    </row>
    <row r="162" spans="1:8" s="88" customFormat="1" ht="25.5">
      <c r="A162" s="82"/>
      <c r="B162" s="83">
        <v>67</v>
      </c>
      <c r="C162" s="83">
        <v>185851121</v>
      </c>
      <c r="D162" s="84" t="s">
        <v>93</v>
      </c>
      <c r="E162" s="83" t="s">
        <v>13</v>
      </c>
      <c r="F162" s="85">
        <f>+(340+1860)*0.02</f>
        <v>44</v>
      </c>
      <c r="G162" s="85"/>
      <c r="H162" s="86">
        <f t="shared" si="13"/>
        <v>0</v>
      </c>
    </row>
    <row r="163" spans="1:8" s="88" customFormat="1" ht="25.5">
      <c r="A163" s="82"/>
      <c r="B163" s="83">
        <v>68</v>
      </c>
      <c r="C163" s="83">
        <v>185851129</v>
      </c>
      <c r="D163" s="84" t="s">
        <v>85</v>
      </c>
      <c r="E163" s="83" t="s">
        <v>13</v>
      </c>
      <c r="F163" s="85">
        <f>+F162</f>
        <v>44</v>
      </c>
      <c r="G163" s="85"/>
      <c r="H163" s="86">
        <f t="shared" si="13"/>
        <v>0</v>
      </c>
    </row>
    <row r="164" spans="1:8" s="88" customFormat="1" ht="25.5">
      <c r="A164" s="82"/>
      <c r="B164" s="83">
        <v>69</v>
      </c>
      <c r="C164" s="83">
        <v>184911421</v>
      </c>
      <c r="D164" s="84" t="s">
        <v>133</v>
      </c>
      <c r="E164" s="83" t="s">
        <v>0</v>
      </c>
      <c r="F164" s="85">
        <f>+(178+295+190)</f>
        <v>663</v>
      </c>
      <c r="G164" s="85"/>
      <c r="H164" s="86">
        <f t="shared" si="13"/>
        <v>0</v>
      </c>
    </row>
    <row r="165" spans="1:9" s="88" customFormat="1" ht="12.75">
      <c r="A165" s="82"/>
      <c r="B165" s="83">
        <v>70</v>
      </c>
      <c r="C165" s="83">
        <v>998231311</v>
      </c>
      <c r="D165" s="84" t="s">
        <v>14</v>
      </c>
      <c r="E165" s="83" t="s">
        <v>8</v>
      </c>
      <c r="F165" s="85">
        <f>+F160+F168*0.3</f>
        <v>19.955999999999996</v>
      </c>
      <c r="G165" s="85"/>
      <c r="H165" s="86">
        <f t="shared" si="13"/>
        <v>0</v>
      </c>
      <c r="I165" s="87"/>
    </row>
    <row r="166" spans="1:9" s="88" customFormat="1" ht="25.5">
      <c r="A166" s="82"/>
      <c r="B166" s="83">
        <v>71</v>
      </c>
      <c r="C166" s="83" t="s">
        <v>9</v>
      </c>
      <c r="D166" s="84" t="s">
        <v>231</v>
      </c>
      <c r="E166" s="83" t="s">
        <v>13</v>
      </c>
      <c r="F166" s="85">
        <f>+(1860)*0.02*0.5</f>
        <v>18.6</v>
      </c>
      <c r="G166" s="85"/>
      <c r="H166" s="86">
        <f t="shared" si="13"/>
        <v>0</v>
      </c>
      <c r="I166" s="87"/>
    </row>
    <row r="167" spans="1:8" s="88" customFormat="1" ht="25.5">
      <c r="A167" s="82"/>
      <c r="B167" s="83">
        <v>72</v>
      </c>
      <c r="C167" s="83" t="s">
        <v>9</v>
      </c>
      <c r="D167" s="84" t="s">
        <v>94</v>
      </c>
      <c r="E167" s="83" t="s">
        <v>10</v>
      </c>
      <c r="F167" s="85">
        <f>+(2200*30*0.001)</f>
        <v>66</v>
      </c>
      <c r="G167" s="85"/>
      <c r="H167" s="86">
        <f t="shared" si="13"/>
        <v>0</v>
      </c>
    </row>
    <row r="168" spans="1:9" s="88" customFormat="1" ht="12.75">
      <c r="A168" s="82"/>
      <c r="B168" s="83">
        <v>73</v>
      </c>
      <c r="C168" s="83" t="s">
        <v>9</v>
      </c>
      <c r="D168" s="84" t="s">
        <v>16</v>
      </c>
      <c r="E168" s="83" t="s">
        <v>13</v>
      </c>
      <c r="F168" s="85">
        <f>+(F164)*0.1</f>
        <v>66.3</v>
      </c>
      <c r="G168" s="85"/>
      <c r="H168" s="86">
        <f t="shared" si="13"/>
        <v>0</v>
      </c>
      <c r="I168" s="87"/>
    </row>
    <row r="169" spans="1:9" s="93" customFormat="1" ht="12.75">
      <c r="A169" s="82"/>
      <c r="B169" s="89"/>
      <c r="C169" s="89"/>
      <c r="D169" s="90" t="s">
        <v>22</v>
      </c>
      <c r="E169" s="89"/>
      <c r="F169" s="91"/>
      <c r="G169" s="91"/>
      <c r="H169" s="86">
        <f t="shared" si="13"/>
        <v>0</v>
      </c>
      <c r="I169" s="92"/>
    </row>
    <row r="170" spans="1:9" s="88" customFormat="1" ht="12.75">
      <c r="A170" s="82"/>
      <c r="B170" s="83">
        <v>74</v>
      </c>
      <c r="C170" s="83" t="s">
        <v>33</v>
      </c>
      <c r="D170" s="84" t="s">
        <v>69</v>
      </c>
      <c r="E170" s="83" t="s">
        <v>1</v>
      </c>
      <c r="F170" s="85">
        <v>340</v>
      </c>
      <c r="G170" s="85"/>
      <c r="H170" s="86">
        <f t="shared" si="13"/>
        <v>0</v>
      </c>
      <c r="I170" s="87"/>
    </row>
    <row r="171" spans="1:9" s="88" customFormat="1" ht="12.75">
      <c r="A171" s="82"/>
      <c r="B171" s="83">
        <v>75</v>
      </c>
      <c r="C171" s="83" t="s">
        <v>74</v>
      </c>
      <c r="D171" s="84" t="s">
        <v>71</v>
      </c>
      <c r="E171" s="83" t="s">
        <v>1</v>
      </c>
      <c r="F171" s="85">
        <v>280</v>
      </c>
      <c r="G171" s="85"/>
      <c r="H171" s="86">
        <f t="shared" si="13"/>
        <v>0</v>
      </c>
      <c r="I171" s="87"/>
    </row>
    <row r="172" spans="1:9" s="88" customFormat="1" ht="12.75">
      <c r="A172" s="82"/>
      <c r="B172" s="83">
        <v>76</v>
      </c>
      <c r="C172" s="83" t="s">
        <v>74</v>
      </c>
      <c r="D172" s="84" t="s">
        <v>72</v>
      </c>
      <c r="E172" s="83" t="s">
        <v>1</v>
      </c>
      <c r="F172" s="85">
        <v>780</v>
      </c>
      <c r="G172" s="85"/>
      <c r="H172" s="86">
        <f t="shared" si="13"/>
        <v>0</v>
      </c>
      <c r="I172" s="87"/>
    </row>
    <row r="173" spans="1:9" s="88" customFormat="1" ht="12.75">
      <c r="A173" s="82"/>
      <c r="B173" s="83">
        <v>77</v>
      </c>
      <c r="C173" s="83" t="s">
        <v>75</v>
      </c>
      <c r="D173" s="84" t="s">
        <v>73</v>
      </c>
      <c r="E173" s="83" t="s">
        <v>1</v>
      </c>
      <c r="F173" s="85">
        <v>800</v>
      </c>
      <c r="G173" s="85"/>
      <c r="H173" s="86">
        <f t="shared" si="13"/>
        <v>0</v>
      </c>
      <c r="I173" s="87"/>
    </row>
    <row r="174" spans="1:14" s="43" customFormat="1" ht="15" customHeight="1">
      <c r="A174" s="39"/>
      <c r="B174" s="39"/>
      <c r="C174" s="38"/>
      <c r="D174" s="38" t="s">
        <v>96</v>
      </c>
      <c r="E174" s="39"/>
      <c r="F174" s="40"/>
      <c r="G174" s="40"/>
      <c r="H174" s="41">
        <f>SUM(H155:H173)</f>
        <v>0</v>
      </c>
      <c r="I174" s="44"/>
      <c r="J174" s="39"/>
      <c r="K174" s="42"/>
      <c r="L174" s="39"/>
      <c r="N174" s="39"/>
    </row>
    <row r="176" spans="1:9" s="4" customFormat="1" ht="12.75">
      <c r="A176" s="20"/>
      <c r="B176" s="9"/>
      <c r="C176" s="20"/>
      <c r="D176" s="8"/>
      <c r="E176" s="9"/>
      <c r="F176" s="26"/>
      <c r="G176" s="26"/>
      <c r="H176" s="11"/>
      <c r="I176" s="22"/>
    </row>
    <row r="177" spans="1:9" s="4" customFormat="1" ht="12.75">
      <c r="A177" s="20"/>
      <c r="B177" s="39">
        <v>8</v>
      </c>
      <c r="C177" s="20"/>
      <c r="D177" s="8"/>
      <c r="E177" s="9"/>
      <c r="F177" s="26"/>
      <c r="G177" s="26"/>
      <c r="H177" s="11"/>
      <c r="I177" s="22"/>
    </row>
    <row r="178" spans="2:14" s="43" customFormat="1" ht="15" customHeight="1">
      <c r="B178" s="39" t="s">
        <v>3</v>
      </c>
      <c r="C178" s="38" t="s">
        <v>38</v>
      </c>
      <c r="D178" s="38"/>
      <c r="E178" s="39" t="s">
        <v>4</v>
      </c>
      <c r="F178" s="40" t="s">
        <v>5</v>
      </c>
      <c r="G178" s="40" t="s">
        <v>6</v>
      </c>
      <c r="H178" s="41" t="s">
        <v>7</v>
      </c>
      <c r="I178" s="44"/>
      <c r="J178" s="39"/>
      <c r="K178" s="42"/>
      <c r="L178" s="39"/>
      <c r="N178" s="39"/>
    </row>
    <row r="179" spans="1:9" s="88" customFormat="1" ht="25.5">
      <c r="A179" s="82"/>
      <c r="B179" s="83">
        <v>78</v>
      </c>
      <c r="C179" s="83">
        <v>183101322</v>
      </c>
      <c r="D179" s="84" t="s">
        <v>221</v>
      </c>
      <c r="E179" s="83" t="s">
        <v>1</v>
      </c>
      <c r="F179" s="85">
        <f>+F209+F210</f>
        <v>19</v>
      </c>
      <c r="G179" s="85"/>
      <c r="H179" s="86">
        <f>+F179*G179</f>
        <v>0</v>
      </c>
      <c r="I179" s="104"/>
    </row>
    <row r="180" spans="1:9" s="88" customFormat="1" ht="12.75">
      <c r="A180" s="82"/>
      <c r="B180" s="83">
        <v>79</v>
      </c>
      <c r="C180" s="83" t="s">
        <v>20</v>
      </c>
      <c r="D180" s="84" t="s">
        <v>238</v>
      </c>
      <c r="E180" s="83" t="s">
        <v>8</v>
      </c>
      <c r="F180" s="85">
        <f>F179*2*1.4</f>
        <v>53.199999999999996</v>
      </c>
      <c r="G180" s="85"/>
      <c r="H180" s="86">
        <f aca="true" t="shared" si="14" ref="H180:H181">+F180*G180</f>
        <v>0</v>
      </c>
      <c r="I180" s="87"/>
    </row>
    <row r="181" spans="1:8" s="88" customFormat="1" ht="25.5">
      <c r="A181" s="82"/>
      <c r="B181" s="83">
        <v>80</v>
      </c>
      <c r="C181" s="83" t="s">
        <v>20</v>
      </c>
      <c r="D181" s="84" t="s">
        <v>239</v>
      </c>
      <c r="E181" s="83" t="s">
        <v>0</v>
      </c>
      <c r="F181" s="85">
        <f>2*1*F179</f>
        <v>38</v>
      </c>
      <c r="G181" s="85"/>
      <c r="H181" s="86">
        <f t="shared" si="14"/>
        <v>0</v>
      </c>
    </row>
    <row r="182" spans="1:9" s="88" customFormat="1" ht="37.5" customHeight="1">
      <c r="A182" s="82"/>
      <c r="B182" s="83">
        <v>81</v>
      </c>
      <c r="C182" s="83">
        <v>183106613</v>
      </c>
      <c r="D182" s="84" t="s">
        <v>211</v>
      </c>
      <c r="E182" s="83" t="s">
        <v>2</v>
      </c>
      <c r="F182" s="85">
        <f>+(8*2)*1.3</f>
        <v>20.8</v>
      </c>
      <c r="G182" s="85"/>
      <c r="H182" s="86">
        <f>+F182*G182</f>
        <v>0</v>
      </c>
      <c r="I182" s="87"/>
    </row>
    <row r="183" spans="1:9" s="88" customFormat="1" ht="37.5" customHeight="1">
      <c r="A183" s="82"/>
      <c r="B183" s="83">
        <v>82</v>
      </c>
      <c r="C183" s="83">
        <v>183106614</v>
      </c>
      <c r="D183" s="84" t="s">
        <v>212</v>
      </c>
      <c r="E183" s="83" t="s">
        <v>2</v>
      </c>
      <c r="F183" s="85">
        <f>+(3*2)*1.3</f>
        <v>7.800000000000001</v>
      </c>
      <c r="G183" s="85"/>
      <c r="H183" s="86">
        <f>+F183*G183</f>
        <v>0</v>
      </c>
      <c r="I183" s="87"/>
    </row>
    <row r="184" spans="1:8" s="88" customFormat="1" ht="25.5">
      <c r="A184" s="82"/>
      <c r="B184" s="83">
        <v>83</v>
      </c>
      <c r="C184" s="83">
        <v>184102116</v>
      </c>
      <c r="D184" s="84" t="s">
        <v>97</v>
      </c>
      <c r="E184" s="83" t="s">
        <v>1</v>
      </c>
      <c r="F184" s="85">
        <f>+F179</f>
        <v>19</v>
      </c>
      <c r="G184" s="85"/>
      <c r="H184" s="86">
        <f>+F184*G184</f>
        <v>0</v>
      </c>
    </row>
    <row r="185" spans="1:9" s="88" customFormat="1" ht="37.5" customHeight="1">
      <c r="A185" s="82"/>
      <c r="B185" s="83">
        <v>84</v>
      </c>
      <c r="C185" s="83">
        <v>185802114</v>
      </c>
      <c r="D185" s="84" t="s">
        <v>104</v>
      </c>
      <c r="E185" s="83" t="s">
        <v>8</v>
      </c>
      <c r="F185" s="94">
        <f>+F179*0.002</f>
        <v>0.038</v>
      </c>
      <c r="G185" s="85"/>
      <c r="H185" s="86">
        <f>+F185*G185</f>
        <v>0</v>
      </c>
      <c r="I185" s="87"/>
    </row>
    <row r="186" spans="1:9" s="88" customFormat="1" ht="12.75">
      <c r="A186" s="82"/>
      <c r="B186" s="83">
        <v>85</v>
      </c>
      <c r="C186" s="83">
        <v>184215133</v>
      </c>
      <c r="D186" s="84" t="s">
        <v>98</v>
      </c>
      <c r="E186" s="83" t="s">
        <v>1</v>
      </c>
      <c r="F186" s="85">
        <f>+F184</f>
        <v>19</v>
      </c>
      <c r="G186" s="85"/>
      <c r="H186" s="86">
        <f>+F186*G186</f>
        <v>0</v>
      </c>
      <c r="I186" s="87"/>
    </row>
    <row r="187" spans="1:8" s="88" customFormat="1" ht="25.5">
      <c r="A187" s="82"/>
      <c r="B187" s="83">
        <v>86</v>
      </c>
      <c r="C187" s="83">
        <v>184215412</v>
      </c>
      <c r="D187" s="84" t="s">
        <v>99</v>
      </c>
      <c r="E187" s="83" t="s">
        <v>1</v>
      </c>
      <c r="F187" s="85">
        <f>+F186</f>
        <v>19</v>
      </c>
      <c r="G187" s="85"/>
      <c r="H187" s="86">
        <f aca="true" t="shared" si="15" ref="H187:H207">+F187*G187</f>
        <v>0</v>
      </c>
    </row>
    <row r="188" spans="1:8" s="88" customFormat="1" ht="25.5">
      <c r="A188" s="82"/>
      <c r="B188" s="83">
        <v>87</v>
      </c>
      <c r="C188" s="83">
        <v>184501141</v>
      </c>
      <c r="D188" s="84" t="s">
        <v>240</v>
      </c>
      <c r="E188" s="83" t="s">
        <v>0</v>
      </c>
      <c r="F188" s="85">
        <f>F179*0.6</f>
        <v>11.4</v>
      </c>
      <c r="G188" s="85"/>
      <c r="H188" s="86">
        <f t="shared" si="15"/>
        <v>0</v>
      </c>
    </row>
    <row r="189" spans="1:8" s="88" customFormat="1" ht="25.5">
      <c r="A189" s="82"/>
      <c r="B189" s="83">
        <v>88</v>
      </c>
      <c r="C189" s="83">
        <v>916371211</v>
      </c>
      <c r="D189" s="84" t="s">
        <v>213</v>
      </c>
      <c r="E189" s="83" t="s">
        <v>2</v>
      </c>
      <c r="F189" s="85">
        <f>4*3</f>
        <v>12</v>
      </c>
      <c r="G189" s="85"/>
      <c r="H189" s="86">
        <f aca="true" t="shared" si="16" ref="H189">+F189*G189</f>
        <v>0</v>
      </c>
    </row>
    <row r="190" spans="1:8" s="88" customFormat="1" ht="25.5">
      <c r="A190" s="82"/>
      <c r="B190" s="83">
        <v>89</v>
      </c>
      <c r="C190" s="83">
        <v>184911421</v>
      </c>
      <c r="D190" s="84" t="s">
        <v>241</v>
      </c>
      <c r="E190" s="83" t="s">
        <v>0</v>
      </c>
      <c r="F190" s="85">
        <f>+(8*1.5*1.5)</f>
        <v>18</v>
      </c>
      <c r="G190" s="85"/>
      <c r="H190" s="86">
        <f t="shared" si="15"/>
        <v>0</v>
      </c>
    </row>
    <row r="191" spans="1:8" s="88" customFormat="1" ht="25.5">
      <c r="A191" s="82"/>
      <c r="B191" s="83">
        <v>90</v>
      </c>
      <c r="C191" s="83" t="s">
        <v>20</v>
      </c>
      <c r="D191" s="84" t="s">
        <v>214</v>
      </c>
      <c r="E191" s="83" t="s">
        <v>1</v>
      </c>
      <c r="F191" s="85">
        <v>8</v>
      </c>
      <c r="G191" s="85"/>
      <c r="H191" s="86">
        <f t="shared" si="15"/>
        <v>0</v>
      </c>
    </row>
    <row r="192" spans="1:9" s="88" customFormat="1" ht="12.75">
      <c r="A192" s="82"/>
      <c r="B192" s="83">
        <v>91</v>
      </c>
      <c r="C192" s="83">
        <v>185851121</v>
      </c>
      <c r="D192" s="84" t="s">
        <v>242</v>
      </c>
      <c r="E192" s="83" t="s">
        <v>13</v>
      </c>
      <c r="F192" s="85">
        <f>+F179*0.1</f>
        <v>1.9000000000000001</v>
      </c>
      <c r="G192" s="85"/>
      <c r="H192" s="86">
        <f t="shared" si="15"/>
        <v>0</v>
      </c>
      <c r="I192" s="87"/>
    </row>
    <row r="193" spans="1:8" s="88" customFormat="1" ht="25.5">
      <c r="A193" s="82"/>
      <c r="B193" s="83">
        <v>92</v>
      </c>
      <c r="C193" s="83">
        <v>185851129</v>
      </c>
      <c r="D193" s="84" t="s">
        <v>85</v>
      </c>
      <c r="E193" s="83" t="s">
        <v>13</v>
      </c>
      <c r="F193" s="85">
        <f>+F192</f>
        <v>1.9000000000000001</v>
      </c>
      <c r="G193" s="85"/>
      <c r="H193" s="86">
        <f t="shared" si="15"/>
        <v>0</v>
      </c>
    </row>
    <row r="194" spans="1:9" s="88" customFormat="1" ht="12.75">
      <c r="A194" s="82"/>
      <c r="B194" s="83">
        <v>93</v>
      </c>
      <c r="C194" s="83">
        <v>998231311</v>
      </c>
      <c r="D194" s="84" t="s">
        <v>123</v>
      </c>
      <c r="E194" s="83" t="s">
        <v>8</v>
      </c>
      <c r="F194" s="85">
        <f>+F201*0.003+F206*0.3+F185+F196*0.0005+F197*0.0005+F195*1.4+F205*0.003</f>
        <v>8.7793</v>
      </c>
      <c r="G194" s="85"/>
      <c r="H194" s="86">
        <f t="shared" si="15"/>
        <v>0</v>
      </c>
      <c r="I194" s="87"/>
    </row>
    <row r="195" spans="1:9" s="88" customFormat="1" ht="12.75">
      <c r="A195" s="82"/>
      <c r="B195" s="83">
        <v>94</v>
      </c>
      <c r="C195" s="83" t="s">
        <v>9</v>
      </c>
      <c r="D195" s="84" t="s">
        <v>243</v>
      </c>
      <c r="E195" s="83" t="s">
        <v>13</v>
      </c>
      <c r="F195" s="85">
        <f>0.3*19</f>
        <v>5.7</v>
      </c>
      <c r="G195" s="85"/>
      <c r="H195" s="86">
        <f aca="true" t="shared" si="17" ref="H195">+F195*G195</f>
        <v>0</v>
      </c>
      <c r="I195" s="87"/>
    </row>
    <row r="196" spans="1:8" s="88" customFormat="1" ht="25.5">
      <c r="A196" s="82"/>
      <c r="B196" s="83">
        <v>95</v>
      </c>
      <c r="C196" s="83" t="s">
        <v>9</v>
      </c>
      <c r="D196" s="84" t="s">
        <v>218</v>
      </c>
      <c r="E196" s="83" t="s">
        <v>2</v>
      </c>
      <c r="F196" s="85">
        <f>+F182</f>
        <v>20.8</v>
      </c>
      <c r="G196" s="85"/>
      <c r="H196" s="86">
        <f aca="true" t="shared" si="18" ref="H196">+F196*G196</f>
        <v>0</v>
      </c>
    </row>
    <row r="197" spans="1:8" s="88" customFormat="1" ht="25.5">
      <c r="A197" s="82"/>
      <c r="B197" s="83">
        <v>96</v>
      </c>
      <c r="C197" s="83" t="s">
        <v>9</v>
      </c>
      <c r="D197" s="84" t="s">
        <v>219</v>
      </c>
      <c r="E197" s="83" t="s">
        <v>2</v>
      </c>
      <c r="F197" s="85">
        <f>+F183</f>
        <v>7.800000000000001</v>
      </c>
      <c r="G197" s="85"/>
      <c r="H197" s="86">
        <f aca="true" t="shared" si="19" ref="H197:H198">+F197*G197</f>
        <v>0</v>
      </c>
    </row>
    <row r="198" spans="1:9" s="88" customFormat="1" ht="25.5">
      <c r="A198" s="82"/>
      <c r="B198" s="83">
        <v>97</v>
      </c>
      <c r="C198" s="83" t="s">
        <v>9</v>
      </c>
      <c r="D198" s="84" t="s">
        <v>244</v>
      </c>
      <c r="E198" s="83" t="s">
        <v>13</v>
      </c>
      <c r="F198" s="85">
        <f>0.4*F179</f>
        <v>7.6000000000000005</v>
      </c>
      <c r="G198" s="85"/>
      <c r="H198" s="86">
        <f t="shared" si="19"/>
        <v>0</v>
      </c>
      <c r="I198" s="87"/>
    </row>
    <row r="199" spans="1:8" s="88" customFormat="1" ht="25.5">
      <c r="A199" s="82"/>
      <c r="B199" s="83">
        <v>98</v>
      </c>
      <c r="C199" s="83" t="s">
        <v>9</v>
      </c>
      <c r="D199" s="84" t="s">
        <v>245</v>
      </c>
      <c r="E199" s="83" t="s">
        <v>13</v>
      </c>
      <c r="F199" s="85">
        <f>0.8*F179</f>
        <v>15.200000000000001</v>
      </c>
      <c r="G199" s="85"/>
      <c r="H199" s="86">
        <f aca="true" t="shared" si="20" ref="H199">+F199*G199</f>
        <v>0</v>
      </c>
    </row>
    <row r="200" spans="1:8" s="88" customFormat="1" ht="25.5">
      <c r="A200" s="82"/>
      <c r="B200" s="83">
        <v>99</v>
      </c>
      <c r="C200" s="83" t="s">
        <v>9</v>
      </c>
      <c r="D200" s="84" t="s">
        <v>246</v>
      </c>
      <c r="E200" s="83" t="s">
        <v>10</v>
      </c>
      <c r="F200" s="85">
        <f>+F185*1000</f>
        <v>38</v>
      </c>
      <c r="G200" s="85"/>
      <c r="H200" s="86">
        <f>+F200*G200</f>
        <v>0</v>
      </c>
    </row>
    <row r="201" spans="1:9" s="88" customFormat="1" ht="12.75">
      <c r="A201" s="82"/>
      <c r="B201" s="83">
        <v>100</v>
      </c>
      <c r="C201" s="83" t="s">
        <v>9</v>
      </c>
      <c r="D201" s="84" t="s">
        <v>247</v>
      </c>
      <c r="E201" s="83" t="s">
        <v>1</v>
      </c>
      <c r="F201" s="85">
        <f>+F179*3</f>
        <v>57</v>
      </c>
      <c r="G201" s="85"/>
      <c r="H201" s="86">
        <f t="shared" si="15"/>
        <v>0</v>
      </c>
      <c r="I201" s="87"/>
    </row>
    <row r="202" spans="1:8" s="88" customFormat="1" ht="25.5">
      <c r="A202" s="82"/>
      <c r="B202" s="83">
        <v>101</v>
      </c>
      <c r="C202" s="83" t="s">
        <v>9</v>
      </c>
      <c r="D202" s="84" t="s">
        <v>248</v>
      </c>
      <c r="E202" s="83" t="s">
        <v>1</v>
      </c>
      <c r="F202" s="85">
        <f>+F179*12</f>
        <v>228</v>
      </c>
      <c r="G202" s="85"/>
      <c r="H202" s="86">
        <f t="shared" si="15"/>
        <v>0</v>
      </c>
    </row>
    <row r="203" spans="1:9" s="88" customFormat="1" ht="12.75">
      <c r="A203" s="82"/>
      <c r="B203" s="83">
        <v>102</v>
      </c>
      <c r="C203" s="83" t="s">
        <v>9</v>
      </c>
      <c r="D203" s="84" t="s">
        <v>15</v>
      </c>
      <c r="E203" s="83" t="s">
        <v>0</v>
      </c>
      <c r="F203" s="85">
        <f>+F188</f>
        <v>11.4</v>
      </c>
      <c r="G203" s="85"/>
      <c r="H203" s="86">
        <f t="shared" si="15"/>
        <v>0</v>
      </c>
      <c r="I203" s="87"/>
    </row>
    <row r="204" spans="1:9" s="88" customFormat="1" ht="12.75">
      <c r="A204" s="82"/>
      <c r="B204" s="83">
        <v>103</v>
      </c>
      <c r="C204" s="83" t="s">
        <v>9</v>
      </c>
      <c r="D204" s="84" t="s">
        <v>249</v>
      </c>
      <c r="E204" s="83" t="s">
        <v>2</v>
      </c>
      <c r="F204" s="85">
        <f>F179*3</f>
        <v>57</v>
      </c>
      <c r="G204" s="85"/>
      <c r="H204" s="86">
        <f t="shared" si="15"/>
        <v>0</v>
      </c>
      <c r="I204" s="87"/>
    </row>
    <row r="205" spans="1:9" s="88" customFormat="1" ht="37.5" customHeight="1">
      <c r="A205" s="82"/>
      <c r="B205" s="83">
        <v>104</v>
      </c>
      <c r="C205" s="83" t="s">
        <v>9</v>
      </c>
      <c r="D205" s="84" t="s">
        <v>136</v>
      </c>
      <c r="E205" s="83" t="s">
        <v>2</v>
      </c>
      <c r="F205" s="85">
        <f>4*3</f>
        <v>12</v>
      </c>
      <c r="G205" s="85"/>
      <c r="H205" s="86">
        <f aca="true" t="shared" si="21" ref="H205">+F205*G205</f>
        <v>0</v>
      </c>
      <c r="I205" s="87"/>
    </row>
    <row r="206" spans="1:9" s="88" customFormat="1" ht="12.75">
      <c r="A206" s="82"/>
      <c r="B206" s="83">
        <v>105</v>
      </c>
      <c r="C206" s="83" t="s">
        <v>9</v>
      </c>
      <c r="D206" s="84" t="s">
        <v>16</v>
      </c>
      <c r="E206" s="83" t="s">
        <v>13</v>
      </c>
      <c r="F206" s="85">
        <f>F190*0.1</f>
        <v>1.8</v>
      </c>
      <c r="G206" s="85"/>
      <c r="H206" s="86">
        <f t="shared" si="15"/>
        <v>0</v>
      </c>
      <c r="I206" s="87"/>
    </row>
    <row r="207" spans="1:9" s="88" customFormat="1" ht="12.75">
      <c r="A207" s="82"/>
      <c r="B207" s="83">
        <v>106</v>
      </c>
      <c r="C207" s="83" t="s">
        <v>9</v>
      </c>
      <c r="D207" s="84" t="s">
        <v>122</v>
      </c>
      <c r="E207" s="83" t="s">
        <v>1</v>
      </c>
      <c r="F207" s="85">
        <v>8</v>
      </c>
      <c r="G207" s="85"/>
      <c r="H207" s="86">
        <f t="shared" si="15"/>
        <v>0</v>
      </c>
      <c r="I207" s="87"/>
    </row>
    <row r="208" spans="1:9" s="93" customFormat="1" ht="12.75">
      <c r="A208" s="82"/>
      <c r="B208" s="89"/>
      <c r="C208" s="89"/>
      <c r="D208" s="90" t="s">
        <v>217</v>
      </c>
      <c r="E208" s="89"/>
      <c r="F208" s="91"/>
      <c r="G208" s="91"/>
      <c r="H208" s="95"/>
      <c r="I208" s="92"/>
    </row>
    <row r="209" spans="1:9" s="88" customFormat="1" ht="12.75">
      <c r="A209" s="82"/>
      <c r="B209" s="83">
        <v>107</v>
      </c>
      <c r="C209" s="83" t="s">
        <v>19</v>
      </c>
      <c r="D209" s="84" t="s">
        <v>80</v>
      </c>
      <c r="E209" s="83" t="s">
        <v>1</v>
      </c>
      <c r="F209" s="85">
        <v>1</v>
      </c>
      <c r="G209" s="85"/>
      <c r="H209" s="86">
        <f>+F209*G209</f>
        <v>0</v>
      </c>
      <c r="I209" s="87"/>
    </row>
    <row r="210" spans="1:9" s="88" customFormat="1" ht="12.75">
      <c r="A210" s="82"/>
      <c r="B210" s="83">
        <v>108</v>
      </c>
      <c r="C210" s="83" t="s">
        <v>19</v>
      </c>
      <c r="D210" s="84" t="s">
        <v>81</v>
      </c>
      <c r="E210" s="83" t="s">
        <v>1</v>
      </c>
      <c r="F210" s="85">
        <v>18</v>
      </c>
      <c r="G210" s="85"/>
      <c r="H210" s="86">
        <f>+F210*G210</f>
        <v>0</v>
      </c>
      <c r="I210" s="87"/>
    </row>
    <row r="211" spans="1:14" s="43" customFormat="1" ht="15" customHeight="1">
      <c r="A211" s="39"/>
      <c r="B211" s="39"/>
      <c r="C211" s="38"/>
      <c r="D211" s="38" t="s">
        <v>39</v>
      </c>
      <c r="E211" s="39"/>
      <c r="F211" s="40"/>
      <c r="G211" s="40"/>
      <c r="H211" s="41">
        <f>SUM(H179:H210)</f>
        <v>0</v>
      </c>
      <c r="I211" s="44"/>
      <c r="J211" s="39"/>
      <c r="K211" s="42"/>
      <c r="L211" s="39"/>
      <c r="N211" s="39"/>
    </row>
    <row r="213" spans="1:9" s="4" customFormat="1" ht="12.75">
      <c r="A213" s="20"/>
      <c r="B213" s="9"/>
      <c r="C213" s="20"/>
      <c r="D213" s="8"/>
      <c r="E213" s="9"/>
      <c r="F213" s="26"/>
      <c r="G213" s="26"/>
      <c r="H213" s="11"/>
      <c r="I213" s="22"/>
    </row>
    <row r="214" spans="1:9" s="4" customFormat="1" ht="12.75">
      <c r="A214" s="20"/>
      <c r="B214" s="39">
        <v>9</v>
      </c>
      <c r="C214" s="20"/>
      <c r="D214" s="8"/>
      <c r="E214" s="9"/>
      <c r="F214" s="26"/>
      <c r="G214" s="26"/>
      <c r="H214" s="11"/>
      <c r="I214" s="22"/>
    </row>
    <row r="215" spans="2:14" s="43" customFormat="1" ht="15" customHeight="1">
      <c r="B215" s="39" t="s">
        <v>3</v>
      </c>
      <c r="C215" s="38" t="s">
        <v>34</v>
      </c>
      <c r="D215" s="38"/>
      <c r="E215" s="39" t="s">
        <v>4</v>
      </c>
      <c r="F215" s="40" t="s">
        <v>5</v>
      </c>
      <c r="G215" s="40" t="s">
        <v>6</v>
      </c>
      <c r="H215" s="41" t="s">
        <v>7</v>
      </c>
      <c r="I215" s="44"/>
      <c r="J215" s="39"/>
      <c r="K215" s="42"/>
      <c r="L215" s="39"/>
      <c r="N215" s="39"/>
    </row>
    <row r="216" spans="1:8" s="88" customFormat="1" ht="25.5">
      <c r="A216" s="82"/>
      <c r="B216" s="83">
        <v>109</v>
      </c>
      <c r="C216" s="83">
        <v>184802111</v>
      </c>
      <c r="D216" s="84" t="s">
        <v>113</v>
      </c>
      <c r="E216" s="83" t="s">
        <v>0</v>
      </c>
      <c r="F216" s="85">
        <f>+(36+11+3.5+3.5)</f>
        <v>54</v>
      </c>
      <c r="G216" s="85"/>
      <c r="H216" s="86">
        <f>+F216*G216</f>
        <v>0</v>
      </c>
    </row>
    <row r="217" spans="1:8" s="88" customFormat="1" ht="25.5">
      <c r="A217" s="82"/>
      <c r="B217" s="83">
        <v>110</v>
      </c>
      <c r="C217" s="83">
        <v>181111111</v>
      </c>
      <c r="D217" s="84" t="s">
        <v>106</v>
      </c>
      <c r="E217" s="83" t="s">
        <v>0</v>
      </c>
      <c r="F217" s="85">
        <f>+F216</f>
        <v>54</v>
      </c>
      <c r="G217" s="85"/>
      <c r="H217" s="86">
        <f aca="true" t="shared" si="22" ref="H217:H218">G217*F217</f>
        <v>0</v>
      </c>
    </row>
    <row r="218" spans="1:9" s="88" customFormat="1" ht="12.75">
      <c r="A218" s="82"/>
      <c r="B218" s="83">
        <v>111</v>
      </c>
      <c r="C218" s="83">
        <v>183403114</v>
      </c>
      <c r="D218" s="84" t="s">
        <v>107</v>
      </c>
      <c r="E218" s="83" t="s">
        <v>0</v>
      </c>
      <c r="F218" s="85">
        <f>+(F217)*2</f>
        <v>108</v>
      </c>
      <c r="G218" s="85"/>
      <c r="H218" s="86">
        <f t="shared" si="22"/>
        <v>0</v>
      </c>
      <c r="I218" s="87"/>
    </row>
    <row r="219" spans="1:9" s="88" customFormat="1" ht="12.75">
      <c r="A219" s="82"/>
      <c r="B219" s="83">
        <v>112</v>
      </c>
      <c r="C219" s="83">
        <v>183403153</v>
      </c>
      <c r="D219" s="84" t="s">
        <v>108</v>
      </c>
      <c r="E219" s="83" t="s">
        <v>0</v>
      </c>
      <c r="F219" s="85">
        <f>+F216*2</f>
        <v>108</v>
      </c>
      <c r="G219" s="85"/>
      <c r="H219" s="86">
        <f aca="true" t="shared" si="23" ref="H219:H224">G219*F219</f>
        <v>0</v>
      </c>
      <c r="I219" s="87"/>
    </row>
    <row r="220" spans="1:8" s="88" customFormat="1" ht="25.5">
      <c r="A220" s="82"/>
      <c r="B220" s="83">
        <v>113</v>
      </c>
      <c r="C220" s="83">
        <v>185802113</v>
      </c>
      <c r="D220" s="84" t="s">
        <v>115</v>
      </c>
      <c r="E220" s="83" t="s">
        <v>8</v>
      </c>
      <c r="F220" s="94">
        <f>F216*0.03*0.001</f>
        <v>0.00162</v>
      </c>
      <c r="G220" s="85"/>
      <c r="H220" s="86">
        <f t="shared" si="23"/>
        <v>0</v>
      </c>
    </row>
    <row r="221" spans="1:8" s="88" customFormat="1" ht="25.5">
      <c r="A221" s="82"/>
      <c r="B221" s="83">
        <v>114</v>
      </c>
      <c r="C221" s="83">
        <v>181411131</v>
      </c>
      <c r="D221" s="84" t="s">
        <v>116</v>
      </c>
      <c r="E221" s="83" t="s">
        <v>0</v>
      </c>
      <c r="F221" s="85">
        <f>+F216</f>
        <v>54</v>
      </c>
      <c r="G221" s="85"/>
      <c r="H221" s="86">
        <f t="shared" si="23"/>
        <v>0</v>
      </c>
    </row>
    <row r="222" spans="1:9" s="88" customFormat="1" ht="12.75">
      <c r="A222" s="82"/>
      <c r="B222" s="83">
        <v>115</v>
      </c>
      <c r="C222" s="83" t="s">
        <v>9</v>
      </c>
      <c r="D222" s="84" t="s">
        <v>114</v>
      </c>
      <c r="E222" s="83" t="s">
        <v>10</v>
      </c>
      <c r="F222" s="85">
        <f>F216*0.03</f>
        <v>1.6199999999999999</v>
      </c>
      <c r="G222" s="85"/>
      <c r="H222" s="86">
        <f t="shared" si="23"/>
        <v>0</v>
      </c>
      <c r="I222" s="87"/>
    </row>
    <row r="223" spans="1:9" s="88" customFormat="1" ht="12.75">
      <c r="A223" s="82"/>
      <c r="B223" s="83">
        <v>116</v>
      </c>
      <c r="C223" s="83" t="s">
        <v>9</v>
      </c>
      <c r="D223" s="84" t="s">
        <v>35</v>
      </c>
      <c r="E223" s="83" t="s">
        <v>10</v>
      </c>
      <c r="F223" s="85">
        <f>+F220*1000</f>
        <v>1.6199999999999999</v>
      </c>
      <c r="G223" s="85"/>
      <c r="H223" s="86">
        <f t="shared" si="23"/>
        <v>0</v>
      </c>
      <c r="I223" s="87"/>
    </row>
    <row r="224" spans="1:9" s="88" customFormat="1" ht="12.75">
      <c r="A224" s="82"/>
      <c r="B224" s="83">
        <v>117</v>
      </c>
      <c r="C224" s="83" t="s">
        <v>9</v>
      </c>
      <c r="D224" s="84" t="s">
        <v>86</v>
      </c>
      <c r="E224" s="83" t="s">
        <v>87</v>
      </c>
      <c r="F224" s="85">
        <f>10*(F216)/10000</f>
        <v>0.054</v>
      </c>
      <c r="G224" s="85"/>
      <c r="H224" s="86">
        <f t="shared" si="23"/>
        <v>0</v>
      </c>
      <c r="I224" s="87"/>
    </row>
    <row r="225" spans="1:14" s="43" customFormat="1" ht="15" customHeight="1">
      <c r="A225" s="39"/>
      <c r="B225" s="39"/>
      <c r="C225" s="38"/>
      <c r="D225" s="38" t="s">
        <v>120</v>
      </c>
      <c r="E225" s="39"/>
      <c r="F225" s="40"/>
      <c r="G225" s="40"/>
      <c r="H225" s="41">
        <f>SUM(H216:H224)</f>
        <v>0</v>
      </c>
      <c r="I225" s="44"/>
      <c r="J225" s="39"/>
      <c r="K225" s="42"/>
      <c r="L225" s="39"/>
      <c r="N225" s="39"/>
    </row>
    <row r="226" spans="4:9" ht="13.5" customHeight="1">
      <c r="D226" s="4"/>
      <c r="E226" s="3"/>
      <c r="F226" s="18"/>
      <c r="G226" s="27"/>
      <c r="H226" s="28"/>
      <c r="I226" s="2"/>
    </row>
    <row r="227" spans="1:9" s="4" customFormat="1" ht="12.75">
      <c r="A227" s="20"/>
      <c r="B227" s="9"/>
      <c r="C227" s="20"/>
      <c r="D227" s="8"/>
      <c r="E227" s="9"/>
      <c r="F227" s="26"/>
      <c r="G227" s="26"/>
      <c r="H227" s="11"/>
      <c r="I227" s="22"/>
    </row>
    <row r="228" spans="2:9" ht="13.5" customHeight="1">
      <c r="B228" s="39">
        <v>10</v>
      </c>
      <c r="D228" s="33"/>
      <c r="E228" s="3"/>
      <c r="F228" s="18"/>
      <c r="G228" s="27"/>
      <c r="H228" s="28"/>
      <c r="I228" s="2"/>
    </row>
    <row r="229" spans="2:14" s="43" customFormat="1" ht="15" customHeight="1">
      <c r="B229" s="39" t="s">
        <v>3</v>
      </c>
      <c r="C229" s="38" t="s">
        <v>42</v>
      </c>
      <c r="D229" s="38"/>
      <c r="E229" s="39" t="s">
        <v>4</v>
      </c>
      <c r="F229" s="40" t="s">
        <v>5</v>
      </c>
      <c r="G229" s="40" t="s">
        <v>6</v>
      </c>
      <c r="H229" s="41" t="s">
        <v>7</v>
      </c>
      <c r="I229" s="44"/>
      <c r="J229" s="39"/>
      <c r="K229" s="42"/>
      <c r="L229" s="39"/>
      <c r="N229" s="39"/>
    </row>
    <row r="230" spans="1:9" s="88" customFormat="1" ht="25.5">
      <c r="A230" s="82"/>
      <c r="B230" s="83">
        <v>118</v>
      </c>
      <c r="C230" s="83">
        <v>185804213</v>
      </c>
      <c r="D230" s="84" t="s">
        <v>253</v>
      </c>
      <c r="E230" s="83" t="s">
        <v>0</v>
      </c>
      <c r="F230" s="85">
        <f>+(3*8*3.14*0.5*0.5)</f>
        <v>18.84</v>
      </c>
      <c r="G230" s="85"/>
      <c r="H230" s="86">
        <f>G230*F230</f>
        <v>0</v>
      </c>
      <c r="I230" s="87"/>
    </row>
    <row r="231" spans="1:9" s="88" customFormat="1" ht="12.75">
      <c r="A231" s="82"/>
      <c r="B231" s="83">
        <v>119</v>
      </c>
      <c r="C231" s="83">
        <v>185804312</v>
      </c>
      <c r="D231" s="84" t="s">
        <v>250</v>
      </c>
      <c r="E231" s="83" t="s">
        <v>13</v>
      </c>
      <c r="F231" s="85">
        <f>10*19*0.1</f>
        <v>19</v>
      </c>
      <c r="G231" s="85"/>
      <c r="H231" s="86">
        <f>G231*F231</f>
        <v>0</v>
      </c>
      <c r="I231" s="87"/>
    </row>
    <row r="232" spans="1:9" s="88" customFormat="1" ht="12.75">
      <c r="A232" s="82"/>
      <c r="B232" s="83">
        <v>120</v>
      </c>
      <c r="C232" s="83">
        <v>185851121</v>
      </c>
      <c r="D232" s="84" t="s">
        <v>155</v>
      </c>
      <c r="E232" s="83" t="s">
        <v>13</v>
      </c>
      <c r="F232" s="85">
        <f>+F231</f>
        <v>19</v>
      </c>
      <c r="G232" s="85"/>
      <c r="H232" s="86">
        <f aca="true" t="shared" si="24" ref="H232:H233">+F232*G232</f>
        <v>0</v>
      </c>
      <c r="I232" s="87"/>
    </row>
    <row r="233" spans="1:9" s="88" customFormat="1" ht="25.5">
      <c r="A233" s="82"/>
      <c r="B233" s="83">
        <v>121</v>
      </c>
      <c r="C233" s="83">
        <v>185851129</v>
      </c>
      <c r="D233" s="84" t="s">
        <v>85</v>
      </c>
      <c r="E233" s="83" t="s">
        <v>13</v>
      </c>
      <c r="F233" s="85">
        <f>+F232</f>
        <v>19</v>
      </c>
      <c r="G233" s="85"/>
      <c r="H233" s="86">
        <f t="shared" si="24"/>
        <v>0</v>
      </c>
      <c r="I233" s="87"/>
    </row>
    <row r="234" spans="1:9" s="88" customFormat="1" ht="12.75">
      <c r="A234" s="82"/>
      <c r="B234" s="83">
        <v>122</v>
      </c>
      <c r="C234" s="83">
        <v>184911111</v>
      </c>
      <c r="D234" s="84" t="s">
        <v>251</v>
      </c>
      <c r="E234" s="83" t="s">
        <v>1</v>
      </c>
      <c r="F234" s="85">
        <f>+(19*3*0.1)</f>
        <v>5.7</v>
      </c>
      <c r="G234" s="85"/>
      <c r="H234" s="86">
        <f aca="true" t="shared" si="25" ref="H234:H236">G234*F234</f>
        <v>0</v>
      </c>
      <c r="I234" s="87"/>
    </row>
    <row r="235" spans="1:9" s="88" customFormat="1" ht="12.75">
      <c r="A235" s="82"/>
      <c r="B235" s="83">
        <v>123</v>
      </c>
      <c r="C235" s="83" t="s">
        <v>20</v>
      </c>
      <c r="D235" s="84" t="s">
        <v>252</v>
      </c>
      <c r="E235" s="83" t="s">
        <v>1</v>
      </c>
      <c r="F235" s="85">
        <f>+(19*3*0.1)</f>
        <v>5.7</v>
      </c>
      <c r="G235" s="85"/>
      <c r="H235" s="86">
        <f t="shared" si="25"/>
        <v>0</v>
      </c>
      <c r="I235" s="87"/>
    </row>
    <row r="236" spans="1:9" s="88" customFormat="1" ht="12.75">
      <c r="A236" s="82"/>
      <c r="B236" s="83">
        <v>124</v>
      </c>
      <c r="C236" s="83" t="s">
        <v>9</v>
      </c>
      <c r="D236" s="84" t="s">
        <v>156</v>
      </c>
      <c r="E236" s="83" t="s">
        <v>1</v>
      </c>
      <c r="F236" s="85">
        <f>+F234</f>
        <v>5.7</v>
      </c>
      <c r="G236" s="85"/>
      <c r="H236" s="86">
        <f t="shared" si="25"/>
        <v>0</v>
      </c>
      <c r="I236" s="87"/>
    </row>
    <row r="237" spans="1:14" s="43" customFormat="1" ht="15" customHeight="1">
      <c r="A237" s="39"/>
      <c r="B237" s="39"/>
      <c r="C237" s="38"/>
      <c r="D237" s="38" t="s">
        <v>41</v>
      </c>
      <c r="E237" s="39"/>
      <c r="F237" s="40"/>
      <c r="G237" s="40"/>
      <c r="H237" s="41">
        <f>SUM(H230:H236)</f>
        <v>0</v>
      </c>
      <c r="I237" s="44"/>
      <c r="J237" s="39"/>
      <c r="K237" s="42"/>
      <c r="L237" s="39"/>
      <c r="N237" s="39"/>
    </row>
    <row r="238" spans="1:14" s="43" customFormat="1" ht="15" customHeight="1">
      <c r="A238" s="39"/>
      <c r="B238" s="39"/>
      <c r="C238" s="38"/>
      <c r="D238" s="38"/>
      <c r="E238" s="39"/>
      <c r="F238" s="40"/>
      <c r="G238" s="40"/>
      <c r="H238" s="41"/>
      <c r="I238" s="44"/>
      <c r="J238" s="39"/>
      <c r="K238" s="42"/>
      <c r="L238" s="39"/>
      <c r="N238" s="39"/>
    </row>
    <row r="239" spans="1:8" s="4" customFormat="1" ht="12.75">
      <c r="A239" s="20"/>
      <c r="B239" s="39">
        <v>11</v>
      </c>
      <c r="C239" s="34"/>
      <c r="D239" s="8"/>
      <c r="E239" s="1"/>
      <c r="F239" s="6"/>
      <c r="G239" s="6"/>
      <c r="H239" s="17"/>
    </row>
    <row r="240" spans="2:14" s="43" customFormat="1" ht="15" customHeight="1">
      <c r="B240" s="39" t="s">
        <v>3</v>
      </c>
      <c r="C240" s="38" t="s">
        <v>43</v>
      </c>
      <c r="D240" s="38"/>
      <c r="E240" s="39" t="s">
        <v>4</v>
      </c>
      <c r="F240" s="40" t="s">
        <v>5</v>
      </c>
      <c r="G240" s="40" t="s">
        <v>6</v>
      </c>
      <c r="H240" s="41" t="s">
        <v>7</v>
      </c>
      <c r="I240" s="44"/>
      <c r="J240" s="39"/>
      <c r="K240" s="42"/>
      <c r="L240" s="39"/>
      <c r="N240" s="39"/>
    </row>
    <row r="241" spans="1:9" s="88" customFormat="1" ht="38.25">
      <c r="A241" s="82"/>
      <c r="B241" s="83">
        <v>125</v>
      </c>
      <c r="C241" s="83">
        <v>185804214</v>
      </c>
      <c r="D241" s="84" t="s">
        <v>158</v>
      </c>
      <c r="E241" s="83" t="s">
        <v>0</v>
      </c>
      <c r="F241" s="85">
        <f>+(178+295+190+7+40)*3</f>
        <v>2130</v>
      </c>
      <c r="G241" s="85"/>
      <c r="H241" s="86">
        <f>G241*F241</f>
        <v>0</v>
      </c>
      <c r="I241" s="87"/>
    </row>
    <row r="242" spans="1:9" s="88" customFormat="1" ht="38.25">
      <c r="A242" s="82"/>
      <c r="B242" s="83">
        <v>126</v>
      </c>
      <c r="C242" s="83">
        <v>185804234</v>
      </c>
      <c r="D242" s="84" t="s">
        <v>159</v>
      </c>
      <c r="E242" s="83" t="s">
        <v>0</v>
      </c>
      <c r="F242" s="85">
        <f>+(67+39+30)*3</f>
        <v>408</v>
      </c>
      <c r="G242" s="85"/>
      <c r="H242" s="86">
        <f>G242*F242</f>
        <v>0</v>
      </c>
      <c r="I242" s="87"/>
    </row>
    <row r="243" spans="1:9" s="88" customFormat="1" ht="25.5">
      <c r="A243" s="82"/>
      <c r="B243" s="83">
        <v>127</v>
      </c>
      <c r="C243" s="83">
        <v>185804413</v>
      </c>
      <c r="D243" s="84" t="s">
        <v>160</v>
      </c>
      <c r="E243" s="83" t="s">
        <v>0</v>
      </c>
      <c r="F243" s="85">
        <f>222+46</f>
        <v>268</v>
      </c>
      <c r="G243" s="85"/>
      <c r="H243" s="86">
        <f>G243*F243</f>
        <v>0</v>
      </c>
      <c r="I243" s="87"/>
    </row>
    <row r="244" spans="1:9" s="88" customFormat="1" ht="12.75">
      <c r="A244" s="82"/>
      <c r="B244" s="83">
        <v>128</v>
      </c>
      <c r="C244" s="83">
        <v>185804423</v>
      </c>
      <c r="D244" s="84" t="s">
        <v>161</v>
      </c>
      <c r="E244" s="83" t="s">
        <v>0</v>
      </c>
      <c r="F244" s="85">
        <f>+F243</f>
        <v>268</v>
      </c>
      <c r="G244" s="85"/>
      <c r="H244" s="86">
        <f>G244*F244</f>
        <v>0</v>
      </c>
      <c r="I244" s="87"/>
    </row>
    <row r="245" spans="1:9" s="88" customFormat="1" ht="25.5">
      <c r="A245" s="82"/>
      <c r="B245" s="83">
        <v>129</v>
      </c>
      <c r="C245" s="83">
        <v>185804312</v>
      </c>
      <c r="D245" s="84" t="s">
        <v>202</v>
      </c>
      <c r="E245" s="83" t="s">
        <v>13</v>
      </c>
      <c r="F245" s="85">
        <f>+(178+295+190+7+40+67+39+30)*10*20*0.001</f>
        <v>169.20000000000002</v>
      </c>
      <c r="G245" s="85"/>
      <c r="H245" s="86">
        <f>G245*F245</f>
        <v>0</v>
      </c>
      <c r="I245" s="87"/>
    </row>
    <row r="246" spans="1:9" s="88" customFormat="1" ht="12.75">
      <c r="A246" s="82"/>
      <c r="B246" s="83">
        <v>130</v>
      </c>
      <c r="C246" s="83">
        <v>185851121</v>
      </c>
      <c r="D246" s="84" t="s">
        <v>155</v>
      </c>
      <c r="E246" s="83" t="s">
        <v>13</v>
      </c>
      <c r="F246" s="85">
        <f>+F245</f>
        <v>169.20000000000002</v>
      </c>
      <c r="G246" s="85"/>
      <c r="H246" s="86">
        <f aca="true" t="shared" si="26" ref="H246:H247">+F246*G246</f>
        <v>0</v>
      </c>
      <c r="I246" s="87"/>
    </row>
    <row r="247" spans="1:9" s="88" customFormat="1" ht="25.5">
      <c r="A247" s="82"/>
      <c r="B247" s="83">
        <v>131</v>
      </c>
      <c r="C247" s="83">
        <v>185851129</v>
      </c>
      <c r="D247" s="84" t="s">
        <v>85</v>
      </c>
      <c r="E247" s="83" t="s">
        <v>13</v>
      </c>
      <c r="F247" s="85">
        <f>+F246</f>
        <v>169.20000000000002</v>
      </c>
      <c r="G247" s="85"/>
      <c r="H247" s="86">
        <f t="shared" si="26"/>
        <v>0</v>
      </c>
      <c r="I247" s="87"/>
    </row>
    <row r="248" spans="1:14" s="43" customFormat="1" ht="15" customHeight="1">
      <c r="A248" s="39"/>
      <c r="B248" s="39"/>
      <c r="C248" s="38"/>
      <c r="D248" s="38" t="s">
        <v>44</v>
      </c>
      <c r="E248" s="39"/>
      <c r="F248" s="40"/>
      <c r="G248" s="40"/>
      <c r="H248" s="41">
        <f>SUM(H241:H247)</f>
        <v>0</v>
      </c>
      <c r="I248" s="44"/>
      <c r="J248" s="39"/>
      <c r="K248" s="42"/>
      <c r="L248" s="39"/>
      <c r="N248" s="39"/>
    </row>
    <row r="249" spans="1:9" s="4" customFormat="1" ht="12.75">
      <c r="A249" s="20"/>
      <c r="B249" s="9"/>
      <c r="C249" s="20"/>
      <c r="D249" s="8"/>
      <c r="E249" s="9"/>
      <c r="F249" s="26"/>
      <c r="G249" s="26"/>
      <c r="H249" s="11"/>
      <c r="I249" s="22"/>
    </row>
    <row r="250" spans="1:14" s="43" customFormat="1" ht="15" customHeight="1">
      <c r="A250" s="39"/>
      <c r="B250" s="39">
        <v>12</v>
      </c>
      <c r="C250" s="38"/>
      <c r="D250" s="38"/>
      <c r="E250" s="39"/>
      <c r="F250" s="40"/>
      <c r="G250" s="40"/>
      <c r="H250" s="41"/>
      <c r="I250" s="44"/>
      <c r="J250" s="39"/>
      <c r="K250" s="42"/>
      <c r="L250" s="39"/>
      <c r="N250" s="39"/>
    </row>
    <row r="251" spans="2:14" s="43" customFormat="1" ht="15" customHeight="1">
      <c r="B251" s="39" t="s">
        <v>3</v>
      </c>
      <c r="C251" s="38" t="s">
        <v>166</v>
      </c>
      <c r="D251" s="38"/>
      <c r="E251" s="39" t="s">
        <v>4</v>
      </c>
      <c r="F251" s="40" t="s">
        <v>5</v>
      </c>
      <c r="G251" s="40" t="s">
        <v>6</v>
      </c>
      <c r="H251" s="41" t="s">
        <v>7</v>
      </c>
      <c r="I251" s="44"/>
      <c r="J251" s="39"/>
      <c r="K251" s="42"/>
      <c r="L251" s="39"/>
      <c r="N251" s="39"/>
    </row>
    <row r="252" spans="1:9" s="88" customFormat="1" ht="25.5">
      <c r="A252" s="82"/>
      <c r="B252" s="83">
        <v>132</v>
      </c>
      <c r="C252" s="83">
        <v>185804251</v>
      </c>
      <c r="D252" s="84" t="s">
        <v>168</v>
      </c>
      <c r="E252" s="83" t="s">
        <v>0</v>
      </c>
      <c r="F252" s="85">
        <v>150</v>
      </c>
      <c r="G252" s="85"/>
      <c r="H252" s="86">
        <f>G252*F252</f>
        <v>0</v>
      </c>
      <c r="I252" s="87"/>
    </row>
    <row r="253" spans="1:14" s="43" customFormat="1" ht="15" customHeight="1">
      <c r="A253" s="39"/>
      <c r="B253" s="39"/>
      <c r="C253" s="38"/>
      <c r="D253" s="38" t="s">
        <v>167</v>
      </c>
      <c r="E253" s="39"/>
      <c r="F253" s="40"/>
      <c r="G253" s="40"/>
      <c r="H253" s="41">
        <f>SUM(H252)</f>
        <v>0</v>
      </c>
      <c r="I253" s="44"/>
      <c r="J253" s="39"/>
      <c r="K253" s="42"/>
      <c r="L253" s="39"/>
      <c r="N253" s="39"/>
    </row>
    <row r="254" spans="7:9" ht="12.75">
      <c r="G254" s="6"/>
      <c r="I254" s="2"/>
    </row>
    <row r="255" spans="1:8" s="4" customFormat="1" ht="12.75">
      <c r="A255" s="20"/>
      <c r="B255" s="39">
        <v>13</v>
      </c>
      <c r="C255" s="34"/>
      <c r="D255" s="8"/>
      <c r="E255" s="1"/>
      <c r="F255" s="6"/>
      <c r="G255" s="6"/>
      <c r="H255" s="17"/>
    </row>
    <row r="256" spans="2:14" s="43" customFormat="1" ht="15" customHeight="1">
      <c r="B256" s="39" t="s">
        <v>3</v>
      </c>
      <c r="C256" s="38" t="s">
        <v>119</v>
      </c>
      <c r="D256" s="38"/>
      <c r="E256" s="39" t="s">
        <v>4</v>
      </c>
      <c r="F256" s="40" t="s">
        <v>5</v>
      </c>
      <c r="G256" s="40" t="s">
        <v>6</v>
      </c>
      <c r="H256" s="41" t="s">
        <v>7</v>
      </c>
      <c r="I256" s="44"/>
      <c r="J256" s="39"/>
      <c r="K256" s="42"/>
      <c r="L256" s="39"/>
      <c r="N256" s="39"/>
    </row>
    <row r="257" spans="1:9" s="88" customFormat="1" ht="25.5">
      <c r="A257" s="82"/>
      <c r="B257" s="83">
        <v>133</v>
      </c>
      <c r="C257" s="83">
        <v>181301101</v>
      </c>
      <c r="D257" s="84" t="s">
        <v>216</v>
      </c>
      <c r="E257" s="83" t="s">
        <v>0</v>
      </c>
      <c r="F257" s="85">
        <v>430</v>
      </c>
      <c r="G257" s="85"/>
      <c r="H257" s="86">
        <f>G257*F257</f>
        <v>0</v>
      </c>
      <c r="I257" s="87"/>
    </row>
    <row r="258" spans="1:9" s="88" customFormat="1" ht="12.75">
      <c r="A258" s="82"/>
      <c r="B258" s="83">
        <v>134</v>
      </c>
      <c r="C258" s="83">
        <v>183403153</v>
      </c>
      <c r="D258" s="84" t="s">
        <v>108</v>
      </c>
      <c r="E258" s="83" t="s">
        <v>0</v>
      </c>
      <c r="F258" s="85">
        <f>+F257*2</f>
        <v>860</v>
      </c>
      <c r="G258" s="85"/>
      <c r="H258" s="86">
        <f aca="true" t="shared" si="27" ref="H258:H261">G258*F258</f>
        <v>0</v>
      </c>
      <c r="I258" s="87"/>
    </row>
    <row r="259" spans="1:9" s="88" customFormat="1" ht="25.5">
      <c r="A259" s="82"/>
      <c r="B259" s="83">
        <v>135</v>
      </c>
      <c r="C259" s="83">
        <v>181411121</v>
      </c>
      <c r="D259" s="84" t="s">
        <v>109</v>
      </c>
      <c r="E259" s="83" t="s">
        <v>0</v>
      </c>
      <c r="F259" s="85">
        <f>+F257</f>
        <v>430</v>
      </c>
      <c r="G259" s="85"/>
      <c r="H259" s="86">
        <f t="shared" si="27"/>
        <v>0</v>
      </c>
      <c r="I259" s="87"/>
    </row>
    <row r="260" spans="1:9" s="88" customFormat="1" ht="51" customHeight="1">
      <c r="A260" s="82"/>
      <c r="B260" s="83">
        <v>136</v>
      </c>
      <c r="C260" s="83" t="s">
        <v>111</v>
      </c>
      <c r="D260" s="84" t="s">
        <v>112</v>
      </c>
      <c r="E260" s="83" t="s">
        <v>0</v>
      </c>
      <c r="F260" s="85">
        <f>+F259</f>
        <v>430</v>
      </c>
      <c r="G260" s="85"/>
      <c r="H260" s="86">
        <f t="shared" si="27"/>
        <v>0</v>
      </c>
      <c r="I260" s="87"/>
    </row>
    <row r="261" spans="1:9" s="88" customFormat="1" ht="25.5">
      <c r="A261" s="82"/>
      <c r="B261" s="83">
        <v>137</v>
      </c>
      <c r="C261" s="83">
        <v>185804312</v>
      </c>
      <c r="D261" s="84" t="s">
        <v>164</v>
      </c>
      <c r="E261" s="83" t="s">
        <v>13</v>
      </c>
      <c r="F261" s="85">
        <f>+(430*0.02*5)</f>
        <v>43</v>
      </c>
      <c r="G261" s="85"/>
      <c r="H261" s="86">
        <f t="shared" si="27"/>
        <v>0</v>
      </c>
      <c r="I261" s="87"/>
    </row>
    <row r="262" spans="1:9" s="88" customFormat="1" ht="12.75">
      <c r="A262" s="82"/>
      <c r="B262" s="83">
        <v>138</v>
      </c>
      <c r="C262" s="83">
        <v>185851121</v>
      </c>
      <c r="D262" s="84" t="s">
        <v>21</v>
      </c>
      <c r="E262" s="83" t="s">
        <v>13</v>
      </c>
      <c r="F262" s="85">
        <f>+F261</f>
        <v>43</v>
      </c>
      <c r="G262" s="85"/>
      <c r="H262" s="86">
        <f aca="true" t="shared" si="28" ref="H262:H263">+F262*G262</f>
        <v>0</v>
      </c>
      <c r="I262" s="87"/>
    </row>
    <row r="263" spans="1:9" s="88" customFormat="1" ht="25.5">
      <c r="A263" s="82"/>
      <c r="B263" s="83">
        <v>139</v>
      </c>
      <c r="C263" s="83">
        <v>185851129</v>
      </c>
      <c r="D263" s="84" t="s">
        <v>85</v>
      </c>
      <c r="E263" s="83" t="s">
        <v>13</v>
      </c>
      <c r="F263" s="85">
        <f>+F262</f>
        <v>43</v>
      </c>
      <c r="G263" s="85"/>
      <c r="H263" s="86">
        <f t="shared" si="28"/>
        <v>0</v>
      </c>
      <c r="I263" s="87"/>
    </row>
    <row r="264" spans="1:9" s="88" customFormat="1" ht="25.5">
      <c r="A264" s="82"/>
      <c r="B264" s="83">
        <v>140</v>
      </c>
      <c r="C264" s="83">
        <v>111151131</v>
      </c>
      <c r="D264" s="84" t="s">
        <v>165</v>
      </c>
      <c r="E264" s="83" t="s">
        <v>0</v>
      </c>
      <c r="F264" s="85">
        <v>430</v>
      </c>
      <c r="G264" s="85"/>
      <c r="H264" s="86">
        <f>G264*F264</f>
        <v>0</v>
      </c>
      <c r="I264" s="87"/>
    </row>
    <row r="265" spans="1:9" s="88" customFormat="1" ht="25.5">
      <c r="A265" s="82"/>
      <c r="B265" s="83">
        <v>141</v>
      </c>
      <c r="C265" s="83" t="s">
        <v>9</v>
      </c>
      <c r="D265" s="84" t="s">
        <v>232</v>
      </c>
      <c r="E265" s="83" t="s">
        <v>13</v>
      </c>
      <c r="F265" s="85">
        <f>F257*0.04</f>
        <v>17.2</v>
      </c>
      <c r="G265" s="85"/>
      <c r="H265" s="86">
        <f>G265*F265</f>
        <v>0</v>
      </c>
      <c r="I265" s="87"/>
    </row>
    <row r="266" spans="1:9" s="88" customFormat="1" ht="25.5">
      <c r="A266" s="82"/>
      <c r="B266" s="83">
        <v>142</v>
      </c>
      <c r="C266" s="83" t="s">
        <v>9</v>
      </c>
      <c r="D266" s="84" t="s">
        <v>130</v>
      </c>
      <c r="E266" s="83" t="s">
        <v>10</v>
      </c>
      <c r="F266" s="85">
        <f>+(1000+360+640)*0.001</f>
        <v>2</v>
      </c>
      <c r="G266" s="85"/>
      <c r="H266" s="86">
        <f>G266*F266</f>
        <v>0</v>
      </c>
      <c r="I266" s="87"/>
    </row>
    <row r="267" spans="1:14" s="43" customFormat="1" ht="15" customHeight="1">
      <c r="A267" s="39"/>
      <c r="B267" s="39"/>
      <c r="C267" s="38"/>
      <c r="D267" s="38" t="s">
        <v>117</v>
      </c>
      <c r="E267" s="39"/>
      <c r="F267" s="40"/>
      <c r="G267" s="40"/>
      <c r="H267" s="41">
        <f>SUM(H257:H266)</f>
        <v>0</v>
      </c>
      <c r="I267" s="44"/>
      <c r="J267" s="39"/>
      <c r="K267" s="42"/>
      <c r="L267" s="39"/>
      <c r="N267" s="39"/>
    </row>
    <row r="268" spans="1:14" s="43" customFormat="1" ht="15" customHeight="1">
      <c r="A268" s="39"/>
      <c r="B268" s="39"/>
      <c r="C268" s="38"/>
      <c r="D268" s="38"/>
      <c r="E268" s="39"/>
      <c r="F268" s="40"/>
      <c r="G268" s="40"/>
      <c r="H268" s="41"/>
      <c r="I268" s="44"/>
      <c r="J268" s="39"/>
      <c r="K268" s="42"/>
      <c r="L268" s="39"/>
      <c r="N268" s="39"/>
    </row>
    <row r="269" spans="1:8" s="4" customFormat="1" ht="12.75">
      <c r="A269" s="20"/>
      <c r="B269" s="39">
        <v>14</v>
      </c>
      <c r="C269" s="34"/>
      <c r="D269" s="8"/>
      <c r="E269" s="1"/>
      <c r="F269" s="6"/>
      <c r="G269" s="6"/>
      <c r="H269" s="17"/>
    </row>
    <row r="270" spans="2:14" s="43" customFormat="1" ht="15" customHeight="1">
      <c r="B270" s="39" t="s">
        <v>3</v>
      </c>
      <c r="C270" s="38" t="s">
        <v>45</v>
      </c>
      <c r="D270" s="38"/>
      <c r="E270" s="39" t="s">
        <v>4</v>
      </c>
      <c r="F270" s="40" t="s">
        <v>5</v>
      </c>
      <c r="G270" s="40" t="s">
        <v>6</v>
      </c>
      <c r="H270" s="41" t="s">
        <v>7</v>
      </c>
      <c r="I270" s="44"/>
      <c r="J270" s="39"/>
      <c r="K270" s="42"/>
      <c r="L270" s="39"/>
      <c r="N270" s="39"/>
    </row>
    <row r="271" spans="1:9" s="88" customFormat="1" ht="25.5">
      <c r="A271" s="82"/>
      <c r="B271" s="83">
        <v>143</v>
      </c>
      <c r="C271" s="83">
        <v>111151121</v>
      </c>
      <c r="D271" s="84" t="s">
        <v>118</v>
      </c>
      <c r="E271" s="83" t="s">
        <v>0</v>
      </c>
      <c r="F271" s="85">
        <f>54*6</f>
        <v>324</v>
      </c>
      <c r="G271" s="85"/>
      <c r="H271" s="86">
        <f>G271*F271</f>
        <v>0</v>
      </c>
      <c r="I271" s="87"/>
    </row>
    <row r="272" spans="1:14" s="43" customFormat="1" ht="15" customHeight="1">
      <c r="A272" s="39"/>
      <c r="B272" s="39"/>
      <c r="C272" s="38"/>
      <c r="D272" s="38" t="s">
        <v>46</v>
      </c>
      <c r="E272" s="39"/>
      <c r="F272" s="40"/>
      <c r="G272" s="40"/>
      <c r="H272" s="41">
        <f>SUM(H271:H271)</f>
        <v>0</v>
      </c>
      <c r="I272" s="44"/>
      <c r="J272" s="39"/>
      <c r="K272" s="42"/>
      <c r="L272" s="39"/>
      <c r="N272" s="39"/>
    </row>
    <row r="273" spans="1:14" s="43" customFormat="1" ht="15" customHeight="1">
      <c r="A273" s="39"/>
      <c r="B273" s="39"/>
      <c r="C273" s="38"/>
      <c r="D273" s="38"/>
      <c r="E273" s="39"/>
      <c r="F273" s="40"/>
      <c r="G273" s="40"/>
      <c r="H273" s="41"/>
      <c r="I273" s="44"/>
      <c r="J273" s="39"/>
      <c r="K273" s="42"/>
      <c r="L273" s="39"/>
      <c r="N273" s="39"/>
    </row>
    <row r="274" spans="2:9" ht="13.5" customHeight="1">
      <c r="B274" s="39">
        <v>15</v>
      </c>
      <c r="D274" s="33"/>
      <c r="E274" s="3"/>
      <c r="F274" s="18"/>
      <c r="G274" s="27"/>
      <c r="H274" s="28"/>
      <c r="I274" s="2"/>
    </row>
    <row r="275" spans="2:14" s="43" customFormat="1" ht="15" customHeight="1">
      <c r="B275" s="39" t="s">
        <v>3</v>
      </c>
      <c r="C275" s="38" t="s">
        <v>47</v>
      </c>
      <c r="D275" s="38"/>
      <c r="E275" s="39" t="s">
        <v>4</v>
      </c>
      <c r="F275" s="40" t="s">
        <v>5</v>
      </c>
      <c r="G275" s="40" t="s">
        <v>6</v>
      </c>
      <c r="H275" s="41" t="s">
        <v>7</v>
      </c>
      <c r="I275" s="44"/>
      <c r="J275" s="39"/>
      <c r="K275" s="42"/>
      <c r="L275" s="39"/>
      <c r="N275" s="39"/>
    </row>
    <row r="276" spans="1:9" s="88" customFormat="1" ht="25.5">
      <c r="A276" s="82"/>
      <c r="B276" s="83">
        <v>144</v>
      </c>
      <c r="C276" s="83">
        <v>185804213</v>
      </c>
      <c r="D276" s="84" t="s">
        <v>253</v>
      </c>
      <c r="E276" s="83" t="s">
        <v>0</v>
      </c>
      <c r="F276" s="85">
        <f>+(3*8*3.14*0.5*0.5)</f>
        <v>18.84</v>
      </c>
      <c r="G276" s="85"/>
      <c r="H276" s="86">
        <f>G276*F276</f>
        <v>0</v>
      </c>
      <c r="I276" s="87"/>
    </row>
    <row r="277" spans="1:9" s="88" customFormat="1" ht="12.75">
      <c r="A277" s="82"/>
      <c r="B277" s="83">
        <v>145</v>
      </c>
      <c r="C277" s="83">
        <v>185804312</v>
      </c>
      <c r="D277" s="84" t="s">
        <v>250</v>
      </c>
      <c r="E277" s="83" t="s">
        <v>13</v>
      </c>
      <c r="F277" s="85">
        <f>10*19*0.1</f>
        <v>19</v>
      </c>
      <c r="G277" s="85"/>
      <c r="H277" s="86">
        <f>G277*F277</f>
        <v>0</v>
      </c>
      <c r="I277" s="87"/>
    </row>
    <row r="278" spans="1:9" s="88" customFormat="1" ht="12.75">
      <c r="A278" s="82"/>
      <c r="B278" s="83">
        <v>146</v>
      </c>
      <c r="C278" s="83">
        <v>185851121</v>
      </c>
      <c r="D278" s="84" t="s">
        <v>155</v>
      </c>
      <c r="E278" s="83" t="s">
        <v>13</v>
      </c>
      <c r="F278" s="85">
        <f>+F277</f>
        <v>19</v>
      </c>
      <c r="G278" s="85"/>
      <c r="H278" s="86">
        <f aca="true" t="shared" si="29" ref="H278:H279">+F278*G278</f>
        <v>0</v>
      </c>
      <c r="I278" s="87"/>
    </row>
    <row r="279" spans="1:9" s="88" customFormat="1" ht="25.5">
      <c r="A279" s="82"/>
      <c r="B279" s="83">
        <v>147</v>
      </c>
      <c r="C279" s="83">
        <v>185851129</v>
      </c>
      <c r="D279" s="84" t="s">
        <v>85</v>
      </c>
      <c r="E279" s="83" t="s">
        <v>13</v>
      </c>
      <c r="F279" s="85">
        <f>+F278</f>
        <v>19</v>
      </c>
      <c r="G279" s="85"/>
      <c r="H279" s="86">
        <f t="shared" si="29"/>
        <v>0</v>
      </c>
      <c r="I279" s="87"/>
    </row>
    <row r="280" spans="1:9" s="88" customFormat="1" ht="12.75">
      <c r="A280" s="82"/>
      <c r="B280" s="83">
        <v>148</v>
      </c>
      <c r="C280" s="83">
        <v>184911111</v>
      </c>
      <c r="D280" s="84" t="s">
        <v>251</v>
      </c>
      <c r="E280" s="83" t="s">
        <v>1</v>
      </c>
      <c r="F280" s="85">
        <f>+(19*3*0.1)</f>
        <v>5.7</v>
      </c>
      <c r="G280" s="85"/>
      <c r="H280" s="86">
        <f aca="true" t="shared" si="30" ref="H280:H281">G280*F280</f>
        <v>0</v>
      </c>
      <c r="I280" s="87"/>
    </row>
    <row r="281" spans="1:9" s="88" customFormat="1" ht="12.75">
      <c r="A281" s="82"/>
      <c r="B281" s="83">
        <v>149</v>
      </c>
      <c r="C281" s="83" t="s">
        <v>20</v>
      </c>
      <c r="D281" s="84" t="s">
        <v>252</v>
      </c>
      <c r="E281" s="83" t="s">
        <v>1</v>
      </c>
      <c r="F281" s="85">
        <f>+(19*3*0.1)</f>
        <v>5.7</v>
      </c>
      <c r="G281" s="85"/>
      <c r="H281" s="86">
        <f t="shared" si="30"/>
        <v>0</v>
      </c>
      <c r="I281" s="87"/>
    </row>
    <row r="282" spans="1:8" s="88" customFormat="1" ht="25.5">
      <c r="A282" s="82"/>
      <c r="B282" s="83">
        <v>150</v>
      </c>
      <c r="C282" s="83">
        <v>185802114</v>
      </c>
      <c r="D282" s="84" t="s">
        <v>169</v>
      </c>
      <c r="E282" s="83" t="s">
        <v>8</v>
      </c>
      <c r="F282" s="96">
        <f>+19*100*0.001*0.001</f>
        <v>0.0019000000000000002</v>
      </c>
      <c r="G282" s="85"/>
      <c r="H282" s="86">
        <f aca="true" t="shared" si="31" ref="H282:H287">G282*F282</f>
        <v>0</v>
      </c>
    </row>
    <row r="283" spans="1:8" s="88" customFormat="1" ht="25.5">
      <c r="A283" s="82"/>
      <c r="B283" s="83">
        <v>151</v>
      </c>
      <c r="C283" s="83">
        <v>184911421</v>
      </c>
      <c r="D283" s="84" t="s">
        <v>254</v>
      </c>
      <c r="E283" s="83" t="s">
        <v>0</v>
      </c>
      <c r="F283" s="85">
        <f>+(8*3.14*0.5*0.5)</f>
        <v>6.28</v>
      </c>
      <c r="G283" s="85"/>
      <c r="H283" s="86">
        <f t="shared" si="31"/>
        <v>0</v>
      </c>
    </row>
    <row r="284" spans="1:9" s="88" customFormat="1" ht="12.75">
      <c r="A284" s="82"/>
      <c r="B284" s="83">
        <v>152</v>
      </c>
      <c r="C284" s="83">
        <v>998231311</v>
      </c>
      <c r="D284" s="84" t="s">
        <v>123</v>
      </c>
      <c r="E284" s="83" t="s">
        <v>8</v>
      </c>
      <c r="F284" s="96">
        <f>+F287*0.3+F282</f>
        <v>0.09610000000000002</v>
      </c>
      <c r="G284" s="85"/>
      <c r="H284" s="86">
        <f t="shared" si="31"/>
        <v>0</v>
      </c>
      <c r="I284" s="87"/>
    </row>
    <row r="285" spans="1:9" s="88" customFormat="1" ht="12.75">
      <c r="A285" s="82"/>
      <c r="B285" s="83">
        <v>153</v>
      </c>
      <c r="C285" s="83" t="s">
        <v>9</v>
      </c>
      <c r="D285" s="84" t="s">
        <v>156</v>
      </c>
      <c r="E285" s="83" t="s">
        <v>1</v>
      </c>
      <c r="F285" s="85">
        <f>+F280</f>
        <v>5.7</v>
      </c>
      <c r="G285" s="85"/>
      <c r="H285" s="86">
        <f>G285*F285</f>
        <v>0</v>
      </c>
      <c r="I285" s="87"/>
    </row>
    <row r="286" spans="1:9" s="88" customFormat="1" ht="12.75">
      <c r="A286" s="82"/>
      <c r="B286" s="83">
        <v>154</v>
      </c>
      <c r="C286" s="83" t="s">
        <v>9</v>
      </c>
      <c r="D286" s="84" t="s">
        <v>23</v>
      </c>
      <c r="E286" s="83" t="s">
        <v>10</v>
      </c>
      <c r="F286" s="96">
        <f>+F282*1000</f>
        <v>1.9000000000000001</v>
      </c>
      <c r="G286" s="85"/>
      <c r="H286" s="86">
        <f>G286*F286</f>
        <v>0</v>
      </c>
      <c r="I286" s="87"/>
    </row>
    <row r="287" spans="1:9" s="88" customFormat="1" ht="12.75">
      <c r="A287" s="82"/>
      <c r="B287" s="83">
        <v>155</v>
      </c>
      <c r="C287" s="83" t="s">
        <v>9</v>
      </c>
      <c r="D287" s="84" t="s">
        <v>157</v>
      </c>
      <c r="E287" s="83" t="s">
        <v>13</v>
      </c>
      <c r="F287" s="85">
        <f>(F283)*0.05</f>
        <v>0.31400000000000006</v>
      </c>
      <c r="G287" s="85"/>
      <c r="H287" s="86">
        <f t="shared" si="31"/>
        <v>0</v>
      </c>
      <c r="I287" s="87"/>
    </row>
    <row r="288" spans="1:14" s="43" customFormat="1" ht="15" customHeight="1">
      <c r="A288" s="39"/>
      <c r="B288" s="39"/>
      <c r="C288" s="38"/>
      <c r="D288" s="38" t="s">
        <v>48</v>
      </c>
      <c r="E288" s="39"/>
      <c r="F288" s="40"/>
      <c r="G288" s="40"/>
      <c r="H288" s="41">
        <f>SUM(H276:H287)</f>
        <v>0</v>
      </c>
      <c r="I288" s="44"/>
      <c r="J288" s="39"/>
      <c r="K288" s="42"/>
      <c r="L288" s="39"/>
      <c r="N288" s="39"/>
    </row>
    <row r="289" spans="1:14" s="43" customFormat="1" ht="15" customHeight="1">
      <c r="A289" s="39"/>
      <c r="B289" s="39"/>
      <c r="C289" s="38"/>
      <c r="D289" s="38"/>
      <c r="E289" s="39"/>
      <c r="F289" s="40"/>
      <c r="G289" s="40"/>
      <c r="H289" s="41"/>
      <c r="I289" s="44"/>
      <c r="J289" s="39"/>
      <c r="K289" s="42"/>
      <c r="L289" s="39"/>
      <c r="N289" s="39"/>
    </row>
    <row r="290" spans="2:9" ht="13.5" customHeight="1">
      <c r="B290" s="39">
        <v>16</v>
      </c>
      <c r="D290" s="33"/>
      <c r="E290" s="3"/>
      <c r="F290" s="18"/>
      <c r="G290" s="27"/>
      <c r="H290" s="28"/>
      <c r="I290" s="2"/>
    </row>
    <row r="291" spans="2:14" s="43" customFormat="1" ht="15" customHeight="1">
      <c r="B291" s="39" t="s">
        <v>3</v>
      </c>
      <c r="C291" s="38" t="s">
        <v>49</v>
      </c>
      <c r="D291" s="38"/>
      <c r="E291" s="39" t="s">
        <v>4</v>
      </c>
      <c r="F291" s="40" t="s">
        <v>5</v>
      </c>
      <c r="G291" s="40" t="s">
        <v>6</v>
      </c>
      <c r="H291" s="41" t="s">
        <v>7</v>
      </c>
      <c r="I291" s="44"/>
      <c r="J291" s="39"/>
      <c r="K291" s="42"/>
      <c r="L291" s="39"/>
      <c r="N291" s="39"/>
    </row>
    <row r="292" spans="1:9" s="88" customFormat="1" ht="38.25">
      <c r="A292" s="82"/>
      <c r="B292" s="83">
        <v>156</v>
      </c>
      <c r="C292" s="83">
        <v>185804214</v>
      </c>
      <c r="D292" s="84" t="s">
        <v>158</v>
      </c>
      <c r="E292" s="83" t="s">
        <v>0</v>
      </c>
      <c r="F292" s="85">
        <f>+(178+295+190+7+40)*3</f>
        <v>2130</v>
      </c>
      <c r="G292" s="85"/>
      <c r="H292" s="86">
        <f>G292*F292</f>
        <v>0</v>
      </c>
      <c r="I292" s="87"/>
    </row>
    <row r="293" spans="1:9" s="88" customFormat="1" ht="38.25">
      <c r="A293" s="82"/>
      <c r="B293" s="83">
        <v>157</v>
      </c>
      <c r="C293" s="83">
        <v>185804234</v>
      </c>
      <c r="D293" s="84" t="s">
        <v>159</v>
      </c>
      <c r="E293" s="83" t="s">
        <v>0</v>
      </c>
      <c r="F293" s="85">
        <f>+(67+39+30)*3</f>
        <v>408</v>
      </c>
      <c r="G293" s="85"/>
      <c r="H293" s="86">
        <f>G293*F293</f>
        <v>0</v>
      </c>
      <c r="I293" s="87"/>
    </row>
    <row r="294" spans="1:9" s="88" customFormat="1" ht="25.5">
      <c r="A294" s="82"/>
      <c r="B294" s="83">
        <v>158</v>
      </c>
      <c r="C294" s="83">
        <v>185804312</v>
      </c>
      <c r="D294" s="84" t="s">
        <v>202</v>
      </c>
      <c r="E294" s="83" t="s">
        <v>13</v>
      </c>
      <c r="F294" s="85">
        <f>+(178+295+190+7+40+67+39+30)*10*0.02</f>
        <v>169.20000000000002</v>
      </c>
      <c r="G294" s="85"/>
      <c r="H294" s="86">
        <f>G294*F294</f>
        <v>0</v>
      </c>
      <c r="I294" s="87"/>
    </row>
    <row r="295" spans="1:9" s="88" customFormat="1" ht="12.75">
      <c r="A295" s="82"/>
      <c r="B295" s="83">
        <v>159</v>
      </c>
      <c r="C295" s="83">
        <v>185851121</v>
      </c>
      <c r="D295" s="84" t="s">
        <v>155</v>
      </c>
      <c r="E295" s="83" t="s">
        <v>13</v>
      </c>
      <c r="F295" s="85">
        <f>+F294</f>
        <v>169.20000000000002</v>
      </c>
      <c r="G295" s="85"/>
      <c r="H295" s="86">
        <f aca="true" t="shared" si="32" ref="H295:H296">+F295*G295</f>
        <v>0</v>
      </c>
      <c r="I295" s="87"/>
    </row>
    <row r="296" spans="1:9" s="88" customFormat="1" ht="25.5">
      <c r="A296" s="82"/>
      <c r="B296" s="83">
        <v>160</v>
      </c>
      <c r="C296" s="83">
        <v>185851129</v>
      </c>
      <c r="D296" s="84" t="s">
        <v>85</v>
      </c>
      <c r="E296" s="83" t="s">
        <v>13</v>
      </c>
      <c r="F296" s="85">
        <f>+F295</f>
        <v>169.20000000000002</v>
      </c>
      <c r="G296" s="85"/>
      <c r="H296" s="86">
        <f t="shared" si="32"/>
        <v>0</v>
      </c>
      <c r="I296" s="87"/>
    </row>
    <row r="297" spans="1:9" s="88" customFormat="1" ht="38.25">
      <c r="A297" s="82"/>
      <c r="B297" s="83">
        <v>161</v>
      </c>
      <c r="C297" s="83">
        <v>185802114</v>
      </c>
      <c r="D297" s="84" t="s">
        <v>170</v>
      </c>
      <c r="E297" s="83" t="s">
        <v>8</v>
      </c>
      <c r="F297" s="96">
        <f>+(178+295+190+7+40+67+39+30)*20*0.001*0.001</f>
        <v>0.01692</v>
      </c>
      <c r="G297" s="85"/>
      <c r="H297" s="86">
        <f aca="true" t="shared" si="33" ref="H297">G297*F297</f>
        <v>0</v>
      </c>
      <c r="I297" s="87"/>
    </row>
    <row r="298" spans="1:8" s="88" customFormat="1" ht="25.5">
      <c r="A298" s="82"/>
      <c r="B298" s="83">
        <v>162</v>
      </c>
      <c r="C298" s="83">
        <v>184911421</v>
      </c>
      <c r="D298" s="84" t="s">
        <v>163</v>
      </c>
      <c r="E298" s="83" t="s">
        <v>0</v>
      </c>
      <c r="F298" s="85">
        <f>+(178+295+190+7)</f>
        <v>670</v>
      </c>
      <c r="G298" s="85"/>
      <c r="H298" s="86">
        <f aca="true" t="shared" si="34" ref="H298:H301">G298*F298</f>
        <v>0</v>
      </c>
    </row>
    <row r="299" spans="1:9" s="88" customFormat="1" ht="12.75">
      <c r="A299" s="82"/>
      <c r="B299" s="83">
        <v>163</v>
      </c>
      <c r="C299" s="83">
        <v>998231311</v>
      </c>
      <c r="D299" s="84" t="s">
        <v>123</v>
      </c>
      <c r="E299" s="83" t="s">
        <v>8</v>
      </c>
      <c r="F299" s="85">
        <f>+F301*0.3+F297</f>
        <v>10.06692</v>
      </c>
      <c r="G299" s="85"/>
      <c r="H299" s="86">
        <f t="shared" si="34"/>
        <v>0</v>
      </c>
      <c r="I299" s="87"/>
    </row>
    <row r="300" spans="1:9" s="88" customFormat="1" ht="12.75">
      <c r="A300" s="82"/>
      <c r="B300" s="83">
        <v>164</v>
      </c>
      <c r="C300" s="83" t="s">
        <v>9</v>
      </c>
      <c r="D300" s="84" t="s">
        <v>23</v>
      </c>
      <c r="E300" s="83" t="s">
        <v>10</v>
      </c>
      <c r="F300" s="85">
        <f>+F297*1000</f>
        <v>16.92</v>
      </c>
      <c r="G300" s="85"/>
      <c r="H300" s="86">
        <f t="shared" si="34"/>
        <v>0</v>
      </c>
      <c r="I300" s="87"/>
    </row>
    <row r="301" spans="1:9" s="88" customFormat="1" ht="12.75">
      <c r="A301" s="82"/>
      <c r="B301" s="83">
        <v>165</v>
      </c>
      <c r="C301" s="83" t="s">
        <v>9</v>
      </c>
      <c r="D301" s="84" t="s">
        <v>162</v>
      </c>
      <c r="E301" s="83" t="s">
        <v>13</v>
      </c>
      <c r="F301" s="85">
        <f>+F298*0.05</f>
        <v>33.5</v>
      </c>
      <c r="G301" s="85"/>
      <c r="H301" s="86">
        <f t="shared" si="34"/>
        <v>0</v>
      </c>
      <c r="I301" s="87"/>
    </row>
    <row r="302" spans="1:14" s="43" customFormat="1" ht="15" customHeight="1">
      <c r="A302" s="39"/>
      <c r="B302" s="39"/>
      <c r="C302" s="38"/>
      <c r="D302" s="38" t="s">
        <v>56</v>
      </c>
      <c r="E302" s="39"/>
      <c r="F302" s="40"/>
      <c r="G302" s="40"/>
      <c r="H302" s="41">
        <f>SUM(H292:H301)</f>
        <v>0</v>
      </c>
      <c r="I302" s="44"/>
      <c r="J302" s="39"/>
      <c r="K302" s="42"/>
      <c r="L302" s="39"/>
      <c r="N302" s="39"/>
    </row>
    <row r="304" spans="1:8" s="4" customFormat="1" ht="12.75">
      <c r="A304" s="20"/>
      <c r="B304" s="39">
        <v>17</v>
      </c>
      <c r="C304" s="34"/>
      <c r="D304" s="8"/>
      <c r="E304" s="1"/>
      <c r="F304" s="6"/>
      <c r="G304" s="6"/>
      <c r="H304" s="17"/>
    </row>
    <row r="305" spans="2:14" s="43" customFormat="1" ht="15" customHeight="1">
      <c r="B305" s="39" t="s">
        <v>3</v>
      </c>
      <c r="C305" s="38" t="s">
        <v>171</v>
      </c>
      <c r="D305" s="38"/>
      <c r="E305" s="39" t="s">
        <v>4</v>
      </c>
      <c r="F305" s="40" t="s">
        <v>5</v>
      </c>
      <c r="G305" s="40" t="s">
        <v>6</v>
      </c>
      <c r="H305" s="41" t="s">
        <v>7</v>
      </c>
      <c r="I305" s="44"/>
      <c r="J305" s="39"/>
      <c r="K305" s="42"/>
      <c r="L305" s="39"/>
      <c r="N305" s="39"/>
    </row>
    <row r="306" spans="1:9" s="88" customFormat="1" ht="25.5">
      <c r="A306" s="82"/>
      <c r="B306" s="83">
        <v>166</v>
      </c>
      <c r="C306" s="83">
        <v>185804251</v>
      </c>
      <c r="D306" s="84" t="s">
        <v>168</v>
      </c>
      <c r="E306" s="83" t="s">
        <v>0</v>
      </c>
      <c r="F306" s="85">
        <v>150</v>
      </c>
      <c r="G306" s="85"/>
      <c r="H306" s="86">
        <f>G306*F306</f>
        <v>0</v>
      </c>
      <c r="I306" s="87"/>
    </row>
    <row r="307" spans="1:14" s="43" customFormat="1" ht="15" customHeight="1">
      <c r="A307" s="39"/>
      <c r="B307" s="39"/>
      <c r="C307" s="38"/>
      <c r="D307" s="38" t="s">
        <v>172</v>
      </c>
      <c r="E307" s="39"/>
      <c r="F307" s="40"/>
      <c r="G307" s="40"/>
      <c r="H307" s="41">
        <f>SUM(H306)</f>
        <v>0</v>
      </c>
      <c r="I307" s="44"/>
      <c r="J307" s="39"/>
      <c r="K307" s="42"/>
      <c r="L307" s="39"/>
      <c r="N307" s="39"/>
    </row>
    <row r="309" spans="1:8" s="4" customFormat="1" ht="12.75">
      <c r="A309" s="20"/>
      <c r="B309" s="39">
        <v>18</v>
      </c>
      <c r="C309" s="34"/>
      <c r="D309" s="8"/>
      <c r="E309" s="1"/>
      <c r="F309" s="6"/>
      <c r="G309" s="6"/>
      <c r="H309" s="17"/>
    </row>
    <row r="310" spans="2:14" s="43" customFormat="1" ht="15" customHeight="1">
      <c r="B310" s="39" t="s">
        <v>3</v>
      </c>
      <c r="C310" s="38" t="s">
        <v>173</v>
      </c>
      <c r="D310" s="38"/>
      <c r="E310" s="39" t="s">
        <v>4</v>
      </c>
      <c r="F310" s="40" t="s">
        <v>5</v>
      </c>
      <c r="G310" s="40" t="s">
        <v>6</v>
      </c>
      <c r="H310" s="41" t="s">
        <v>7</v>
      </c>
      <c r="I310" s="44"/>
      <c r="J310" s="39"/>
      <c r="K310" s="42"/>
      <c r="L310" s="39"/>
      <c r="N310" s="39"/>
    </row>
    <row r="311" spans="1:9" s="88" customFormat="1" ht="25.5">
      <c r="A311" s="82"/>
      <c r="B311" s="83">
        <v>167</v>
      </c>
      <c r="C311" s="83">
        <v>111151131</v>
      </c>
      <c r="D311" s="84" t="s">
        <v>165</v>
      </c>
      <c r="E311" s="83" t="s">
        <v>0</v>
      </c>
      <c r="F311" s="85">
        <v>430</v>
      </c>
      <c r="G311" s="85"/>
      <c r="H311" s="86">
        <f>G311*F311</f>
        <v>0</v>
      </c>
      <c r="I311" s="87"/>
    </row>
    <row r="312" spans="1:14" s="43" customFormat="1" ht="15" customHeight="1">
      <c r="A312" s="39"/>
      <c r="B312" s="39"/>
      <c r="C312" s="38"/>
      <c r="D312" s="38" t="s">
        <v>174</v>
      </c>
      <c r="E312" s="39"/>
      <c r="F312" s="40"/>
      <c r="G312" s="40"/>
      <c r="H312" s="41">
        <f>SUM(H311:H311)</f>
        <v>0</v>
      </c>
      <c r="I312" s="44"/>
      <c r="J312" s="39"/>
      <c r="K312" s="42"/>
      <c r="L312" s="39"/>
      <c r="N312" s="39"/>
    </row>
    <row r="313" spans="1:9" s="32" customFormat="1" ht="12.75">
      <c r="A313" s="9"/>
      <c r="B313" s="9"/>
      <c r="C313" s="9"/>
      <c r="D313" s="29"/>
      <c r="E313" s="9"/>
      <c r="F313" s="24"/>
      <c r="G313" s="26"/>
      <c r="H313" s="11"/>
      <c r="I313" s="23"/>
    </row>
    <row r="314" spans="1:8" s="4" customFormat="1" ht="12.75">
      <c r="A314" s="20"/>
      <c r="B314" s="39">
        <v>19</v>
      </c>
      <c r="C314" s="34"/>
      <c r="D314" s="8"/>
      <c r="E314" s="1"/>
      <c r="F314" s="6"/>
      <c r="G314" s="6"/>
      <c r="H314" s="17"/>
    </row>
    <row r="315" spans="2:14" s="43" customFormat="1" ht="15" customHeight="1">
      <c r="B315" s="39" t="s">
        <v>3</v>
      </c>
      <c r="C315" s="38" t="s">
        <v>50</v>
      </c>
      <c r="D315" s="38"/>
      <c r="E315" s="39" t="s">
        <v>4</v>
      </c>
      <c r="F315" s="40" t="s">
        <v>5</v>
      </c>
      <c r="G315" s="40" t="s">
        <v>6</v>
      </c>
      <c r="H315" s="41" t="s">
        <v>7</v>
      </c>
      <c r="I315" s="44"/>
      <c r="J315" s="39"/>
      <c r="K315" s="42"/>
      <c r="L315" s="39"/>
      <c r="N315" s="39"/>
    </row>
    <row r="316" spans="1:9" s="88" customFormat="1" ht="25.5">
      <c r="A316" s="82"/>
      <c r="B316" s="83">
        <v>168</v>
      </c>
      <c r="C316" s="83">
        <v>111151121</v>
      </c>
      <c r="D316" s="84" t="s">
        <v>118</v>
      </c>
      <c r="E316" s="83" t="s">
        <v>0</v>
      </c>
      <c r="F316" s="85">
        <f>54*6</f>
        <v>324</v>
      </c>
      <c r="G316" s="85"/>
      <c r="H316" s="86">
        <f>G316*F316</f>
        <v>0</v>
      </c>
      <c r="I316" s="87"/>
    </row>
    <row r="317" spans="1:14" s="43" customFormat="1" ht="15" customHeight="1">
      <c r="A317" s="39"/>
      <c r="B317" s="39"/>
      <c r="C317" s="38"/>
      <c r="D317" s="38" t="s">
        <v>51</v>
      </c>
      <c r="E317" s="39"/>
      <c r="F317" s="40"/>
      <c r="G317" s="40"/>
      <c r="H317" s="41">
        <f>SUM(H316:H316)</f>
        <v>0</v>
      </c>
      <c r="I317" s="44"/>
      <c r="J317" s="39"/>
      <c r="K317" s="42"/>
      <c r="L317" s="39"/>
      <c r="N317" s="39"/>
    </row>
    <row r="318" spans="7:9" ht="12.75">
      <c r="G318" s="6"/>
      <c r="I318" s="2"/>
    </row>
    <row r="319" spans="1:9" s="4" customFormat="1" ht="12.75">
      <c r="A319" s="20"/>
      <c r="B319" s="9"/>
      <c r="C319" s="20"/>
      <c r="D319" s="8"/>
      <c r="E319" s="9"/>
      <c r="F319" s="26"/>
      <c r="G319" s="26"/>
      <c r="H319" s="11"/>
      <c r="I319" s="22"/>
    </row>
    <row r="320" spans="2:9" ht="13.5" customHeight="1">
      <c r="B320" s="39">
        <v>20</v>
      </c>
      <c r="D320" s="33"/>
      <c r="E320" s="3"/>
      <c r="F320" s="18"/>
      <c r="G320" s="27"/>
      <c r="H320" s="28"/>
      <c r="I320" s="2"/>
    </row>
    <row r="321" spans="2:14" s="43" customFormat="1" ht="15" customHeight="1">
      <c r="B321" s="39" t="s">
        <v>3</v>
      </c>
      <c r="C321" s="38" t="s">
        <v>52</v>
      </c>
      <c r="D321" s="38"/>
      <c r="E321" s="39" t="s">
        <v>4</v>
      </c>
      <c r="F321" s="40" t="s">
        <v>5</v>
      </c>
      <c r="G321" s="40" t="s">
        <v>6</v>
      </c>
      <c r="H321" s="41" t="s">
        <v>7</v>
      </c>
      <c r="I321" s="44"/>
      <c r="J321" s="39"/>
      <c r="K321" s="42"/>
      <c r="L321" s="39"/>
      <c r="N321" s="39"/>
    </row>
    <row r="322" spans="1:9" s="88" customFormat="1" ht="25.5">
      <c r="A322" s="82"/>
      <c r="B322" s="83">
        <v>169</v>
      </c>
      <c r="C322" s="83">
        <v>185804213</v>
      </c>
      <c r="D322" s="84" t="s">
        <v>253</v>
      </c>
      <c r="E322" s="83" t="s">
        <v>0</v>
      </c>
      <c r="F322" s="85">
        <f>+(3*8*3.14*0.5*0.5)</f>
        <v>18.84</v>
      </c>
      <c r="G322" s="85"/>
      <c r="H322" s="86">
        <f>G322*F322</f>
        <v>0</v>
      </c>
      <c r="I322" s="87"/>
    </row>
    <row r="323" spans="1:9" s="88" customFormat="1" ht="12.75">
      <c r="A323" s="82"/>
      <c r="B323" s="83">
        <v>170</v>
      </c>
      <c r="C323" s="83">
        <v>185804312</v>
      </c>
      <c r="D323" s="84" t="s">
        <v>255</v>
      </c>
      <c r="E323" s="83" t="s">
        <v>13</v>
      </c>
      <c r="F323" s="85">
        <f>5*19*0.1</f>
        <v>9.5</v>
      </c>
      <c r="G323" s="85"/>
      <c r="H323" s="86">
        <f>G323*F323</f>
        <v>0</v>
      </c>
      <c r="I323" s="87"/>
    </row>
    <row r="324" spans="1:9" s="88" customFormat="1" ht="12.75">
      <c r="A324" s="82"/>
      <c r="B324" s="83">
        <v>171</v>
      </c>
      <c r="C324" s="83">
        <v>185851121</v>
      </c>
      <c r="D324" s="84" t="s">
        <v>155</v>
      </c>
      <c r="E324" s="83" t="s">
        <v>13</v>
      </c>
      <c r="F324" s="85">
        <f>+F323</f>
        <v>9.5</v>
      </c>
      <c r="G324" s="85"/>
      <c r="H324" s="86">
        <f aca="true" t="shared" si="35" ref="H324:H325">+F324*G324</f>
        <v>0</v>
      </c>
      <c r="I324" s="87"/>
    </row>
    <row r="325" spans="1:9" s="88" customFormat="1" ht="25.5">
      <c r="A325" s="82"/>
      <c r="B325" s="83">
        <v>172</v>
      </c>
      <c r="C325" s="83">
        <v>185851129</v>
      </c>
      <c r="D325" s="84" t="s">
        <v>85</v>
      </c>
      <c r="E325" s="83" t="s">
        <v>13</v>
      </c>
      <c r="F325" s="85">
        <f>+F324</f>
        <v>9.5</v>
      </c>
      <c r="G325" s="85"/>
      <c r="H325" s="86">
        <f t="shared" si="35"/>
        <v>0</v>
      </c>
      <c r="I325" s="87"/>
    </row>
    <row r="326" spans="1:9" s="88" customFormat="1" ht="12.75">
      <c r="A326" s="82"/>
      <c r="B326" s="83">
        <v>173</v>
      </c>
      <c r="C326" s="83">
        <v>184911111</v>
      </c>
      <c r="D326" s="84" t="s">
        <v>251</v>
      </c>
      <c r="E326" s="83" t="s">
        <v>1</v>
      </c>
      <c r="F326" s="85">
        <f>+(19*3*0.1)</f>
        <v>5.7</v>
      </c>
      <c r="G326" s="85"/>
      <c r="H326" s="86">
        <f aca="true" t="shared" si="36" ref="H326:H327">G326*F326</f>
        <v>0</v>
      </c>
      <c r="I326" s="87"/>
    </row>
    <row r="327" spans="1:9" s="88" customFormat="1" ht="12.75">
      <c r="A327" s="82"/>
      <c r="B327" s="83">
        <v>174</v>
      </c>
      <c r="C327" s="83" t="s">
        <v>20</v>
      </c>
      <c r="D327" s="84" t="s">
        <v>252</v>
      </c>
      <c r="E327" s="83" t="s">
        <v>1</v>
      </c>
      <c r="F327" s="85">
        <f>+(19*3*0.1)</f>
        <v>5.7</v>
      </c>
      <c r="G327" s="85"/>
      <c r="H327" s="86">
        <f t="shared" si="36"/>
        <v>0</v>
      </c>
      <c r="I327" s="87"/>
    </row>
    <row r="328" spans="1:8" s="88" customFormat="1" ht="25.5">
      <c r="A328" s="82"/>
      <c r="B328" s="83">
        <v>175</v>
      </c>
      <c r="C328" s="83">
        <v>184501181</v>
      </c>
      <c r="D328" s="84" t="s">
        <v>176</v>
      </c>
      <c r="E328" s="83" t="s">
        <v>0</v>
      </c>
      <c r="F328" s="85">
        <f>19*0.6</f>
        <v>11.4</v>
      </c>
      <c r="G328" s="85"/>
      <c r="H328" s="86">
        <f aca="true" t="shared" si="37" ref="H328:H331">G328*F328</f>
        <v>0</v>
      </c>
    </row>
    <row r="329" spans="1:9" s="88" customFormat="1" ht="38.25">
      <c r="A329" s="82"/>
      <c r="B329" s="83">
        <v>176</v>
      </c>
      <c r="C329" s="83">
        <v>184215173</v>
      </c>
      <c r="D329" s="84" t="s">
        <v>203</v>
      </c>
      <c r="E329" s="83" t="s">
        <v>1</v>
      </c>
      <c r="F329" s="85">
        <v>19</v>
      </c>
      <c r="G329" s="85"/>
      <c r="H329" s="86">
        <f t="shared" si="37"/>
        <v>0</v>
      </c>
      <c r="I329" s="87"/>
    </row>
    <row r="330" spans="1:8" s="88" customFormat="1" ht="12.75">
      <c r="A330" s="82"/>
      <c r="B330" s="83">
        <v>177</v>
      </c>
      <c r="C330" s="83">
        <v>184852312</v>
      </c>
      <c r="D330" s="84" t="s">
        <v>175</v>
      </c>
      <c r="E330" s="83" t="s">
        <v>1</v>
      </c>
      <c r="F330" s="85">
        <v>19</v>
      </c>
      <c r="G330" s="85"/>
      <c r="H330" s="86">
        <f t="shared" si="37"/>
        <v>0</v>
      </c>
    </row>
    <row r="331" spans="1:8" s="88" customFormat="1" ht="25.5">
      <c r="A331" s="82"/>
      <c r="B331" s="83">
        <v>178</v>
      </c>
      <c r="C331" s="83">
        <v>185802114</v>
      </c>
      <c r="D331" s="84" t="s">
        <v>169</v>
      </c>
      <c r="E331" s="83" t="s">
        <v>8</v>
      </c>
      <c r="F331" s="96">
        <f>+19*100*0.001*0.001</f>
        <v>0.0019000000000000002</v>
      </c>
      <c r="G331" s="85"/>
      <c r="H331" s="86">
        <f t="shared" si="37"/>
        <v>0</v>
      </c>
    </row>
    <row r="332" spans="1:9" s="88" customFormat="1" ht="12.75">
      <c r="A332" s="82"/>
      <c r="B332" s="83">
        <v>179</v>
      </c>
      <c r="C332" s="83" t="s">
        <v>9</v>
      </c>
      <c r="D332" s="84" t="s">
        <v>156</v>
      </c>
      <c r="E332" s="83" t="s">
        <v>1</v>
      </c>
      <c r="F332" s="85">
        <f>+F326</f>
        <v>5.7</v>
      </c>
      <c r="G332" s="85"/>
      <c r="H332" s="86">
        <f>G332*F332</f>
        <v>0</v>
      </c>
      <c r="I332" s="87"/>
    </row>
    <row r="333" spans="1:9" s="88" customFormat="1" ht="12.75">
      <c r="A333" s="82"/>
      <c r="B333" s="83">
        <v>180</v>
      </c>
      <c r="C333" s="83" t="s">
        <v>9</v>
      </c>
      <c r="D333" s="84" t="s">
        <v>23</v>
      </c>
      <c r="E333" s="83" t="s">
        <v>10</v>
      </c>
      <c r="F333" s="96">
        <f>+F331*1000</f>
        <v>1.9000000000000001</v>
      </c>
      <c r="G333" s="85"/>
      <c r="H333" s="86">
        <f>G333*F333</f>
        <v>0</v>
      </c>
      <c r="I333" s="87"/>
    </row>
    <row r="334" spans="1:14" s="43" customFormat="1" ht="15" customHeight="1">
      <c r="A334" s="39"/>
      <c r="B334" s="39"/>
      <c r="C334" s="38"/>
      <c r="D334" s="38" t="s">
        <v>53</v>
      </c>
      <c r="E334" s="39"/>
      <c r="F334" s="40"/>
      <c r="G334" s="40"/>
      <c r="H334" s="41">
        <f>SUM(H322:H333)</f>
        <v>0</v>
      </c>
      <c r="I334" s="44"/>
      <c r="J334" s="39"/>
      <c r="K334" s="42"/>
      <c r="L334" s="39"/>
      <c r="N334" s="39"/>
    </row>
    <row r="335" spans="1:14" s="43" customFormat="1" ht="15" customHeight="1">
      <c r="A335" s="39"/>
      <c r="B335" s="39"/>
      <c r="C335" s="38"/>
      <c r="D335" s="38"/>
      <c r="E335" s="39"/>
      <c r="F335" s="40"/>
      <c r="G335" s="40"/>
      <c r="H335" s="41"/>
      <c r="I335" s="44"/>
      <c r="J335" s="39"/>
      <c r="K335" s="42"/>
      <c r="L335" s="39"/>
      <c r="N335" s="39"/>
    </row>
    <row r="336" spans="2:9" ht="13.5" customHeight="1">
      <c r="B336" s="39">
        <v>21</v>
      </c>
      <c r="D336" s="33"/>
      <c r="E336" s="3"/>
      <c r="F336" s="18"/>
      <c r="G336" s="27"/>
      <c r="H336" s="28"/>
      <c r="I336" s="2"/>
    </row>
    <row r="337" spans="2:14" s="43" customFormat="1" ht="15" customHeight="1">
      <c r="B337" s="39" t="s">
        <v>3</v>
      </c>
      <c r="C337" s="38" t="s">
        <v>54</v>
      </c>
      <c r="D337" s="38"/>
      <c r="E337" s="39" t="s">
        <v>4</v>
      </c>
      <c r="F337" s="40" t="s">
        <v>5</v>
      </c>
      <c r="G337" s="40" t="s">
        <v>6</v>
      </c>
      <c r="H337" s="41" t="s">
        <v>7</v>
      </c>
      <c r="I337" s="44"/>
      <c r="J337" s="39"/>
      <c r="K337" s="42"/>
      <c r="L337" s="39"/>
      <c r="N337" s="39"/>
    </row>
    <row r="338" spans="1:9" s="88" customFormat="1" ht="38.25">
      <c r="A338" s="82"/>
      <c r="B338" s="83">
        <v>181</v>
      </c>
      <c r="C338" s="83">
        <v>185804214</v>
      </c>
      <c r="D338" s="84" t="s">
        <v>158</v>
      </c>
      <c r="E338" s="83" t="s">
        <v>0</v>
      </c>
      <c r="F338" s="85">
        <f>+(178+295+190+7+40)*3</f>
        <v>2130</v>
      </c>
      <c r="G338" s="85"/>
      <c r="H338" s="86">
        <f>G338*F338</f>
        <v>0</v>
      </c>
      <c r="I338" s="87"/>
    </row>
    <row r="339" spans="1:9" s="88" customFormat="1" ht="38.25">
      <c r="A339" s="82"/>
      <c r="B339" s="83">
        <v>182</v>
      </c>
      <c r="C339" s="83">
        <v>185804234</v>
      </c>
      <c r="D339" s="84" t="s">
        <v>159</v>
      </c>
      <c r="E339" s="83" t="s">
        <v>0</v>
      </c>
      <c r="F339" s="85">
        <f>+(67+39+30)*3</f>
        <v>408</v>
      </c>
      <c r="G339" s="85"/>
      <c r="H339" s="86">
        <f>G339*F339</f>
        <v>0</v>
      </c>
      <c r="I339" s="87"/>
    </row>
    <row r="340" spans="1:9" s="88" customFormat="1" ht="25.5">
      <c r="A340" s="82"/>
      <c r="B340" s="83">
        <v>183</v>
      </c>
      <c r="C340" s="83">
        <v>185804312</v>
      </c>
      <c r="D340" s="84" t="s">
        <v>204</v>
      </c>
      <c r="E340" s="83" t="s">
        <v>13</v>
      </c>
      <c r="F340" s="85">
        <f>+(178+295+190+7+40+67+39+30)*5*0.02</f>
        <v>84.60000000000001</v>
      </c>
      <c r="G340" s="85"/>
      <c r="H340" s="86">
        <f>G340*F340</f>
        <v>0</v>
      </c>
      <c r="I340" s="87"/>
    </row>
    <row r="341" spans="1:9" s="88" customFormat="1" ht="12.75">
      <c r="A341" s="82"/>
      <c r="B341" s="83">
        <v>184</v>
      </c>
      <c r="C341" s="83">
        <v>185851121</v>
      </c>
      <c r="D341" s="84" t="s">
        <v>155</v>
      </c>
      <c r="E341" s="83" t="s">
        <v>13</v>
      </c>
      <c r="F341" s="85">
        <f>+F340</f>
        <v>84.60000000000001</v>
      </c>
      <c r="G341" s="85"/>
      <c r="H341" s="86">
        <f aca="true" t="shared" si="38" ref="H341:H344">+F341*G341</f>
        <v>0</v>
      </c>
      <c r="I341" s="87"/>
    </row>
    <row r="342" spans="1:9" s="88" customFormat="1" ht="25.5">
      <c r="A342" s="82"/>
      <c r="B342" s="83">
        <v>185</v>
      </c>
      <c r="C342" s="83">
        <v>185851129</v>
      </c>
      <c r="D342" s="84" t="s">
        <v>85</v>
      </c>
      <c r="E342" s="83" t="s">
        <v>13</v>
      </c>
      <c r="F342" s="85">
        <f>+F341</f>
        <v>84.60000000000001</v>
      </c>
      <c r="G342" s="85"/>
      <c r="H342" s="86">
        <f t="shared" si="38"/>
        <v>0</v>
      </c>
      <c r="I342" s="87"/>
    </row>
    <row r="343" spans="1:9" s="88" customFormat="1" ht="25.5">
      <c r="A343" s="82"/>
      <c r="B343" s="83">
        <v>186</v>
      </c>
      <c r="C343" s="83">
        <v>184803111</v>
      </c>
      <c r="D343" s="84" t="s">
        <v>236</v>
      </c>
      <c r="E343" s="83" t="s">
        <v>0</v>
      </c>
      <c r="F343" s="85">
        <v>116</v>
      </c>
      <c r="G343" s="85"/>
      <c r="H343" s="86">
        <f t="shared" si="38"/>
        <v>0</v>
      </c>
      <c r="I343" s="87"/>
    </row>
    <row r="344" spans="1:9" s="88" customFormat="1" ht="12.75">
      <c r="A344" s="82"/>
      <c r="B344" s="83">
        <v>187</v>
      </c>
      <c r="C344" s="83">
        <v>184806186</v>
      </c>
      <c r="D344" s="84" t="s">
        <v>237</v>
      </c>
      <c r="E344" s="83" t="s">
        <v>1</v>
      </c>
      <c r="F344" s="85">
        <v>1860</v>
      </c>
      <c r="G344" s="85"/>
      <c r="H344" s="86">
        <f t="shared" si="38"/>
        <v>0</v>
      </c>
      <c r="I344" s="87"/>
    </row>
    <row r="345" spans="1:9" s="88" customFormat="1" ht="38.25">
      <c r="A345" s="82"/>
      <c r="B345" s="83">
        <v>188</v>
      </c>
      <c r="C345" s="83">
        <v>185802114</v>
      </c>
      <c r="D345" s="84" t="s">
        <v>170</v>
      </c>
      <c r="E345" s="83" t="s">
        <v>8</v>
      </c>
      <c r="F345" s="96">
        <f>+(178+295+190+7+40+67+39+30)*20*0.001*0.001</f>
        <v>0.01692</v>
      </c>
      <c r="G345" s="85"/>
      <c r="H345" s="86">
        <f aca="true" t="shared" si="39" ref="H345:H346">G345*F345</f>
        <v>0</v>
      </c>
      <c r="I345" s="87"/>
    </row>
    <row r="346" spans="1:9" s="88" customFormat="1" ht="12.75">
      <c r="A346" s="82"/>
      <c r="B346" s="83">
        <v>189</v>
      </c>
      <c r="C346" s="83" t="s">
        <v>9</v>
      </c>
      <c r="D346" s="84" t="s">
        <v>23</v>
      </c>
      <c r="E346" s="83" t="s">
        <v>10</v>
      </c>
      <c r="F346" s="85">
        <f>+F345*1000</f>
        <v>16.92</v>
      </c>
      <c r="G346" s="85"/>
      <c r="H346" s="86">
        <f t="shared" si="39"/>
        <v>0</v>
      </c>
      <c r="I346" s="87"/>
    </row>
    <row r="347" spans="1:14" s="43" customFormat="1" ht="15" customHeight="1">
      <c r="A347" s="39"/>
      <c r="B347" s="39"/>
      <c r="C347" s="38"/>
      <c r="D347" s="38" t="s">
        <v>55</v>
      </c>
      <c r="E347" s="39"/>
      <c r="F347" s="40"/>
      <c r="G347" s="40"/>
      <c r="H347" s="41">
        <f>SUM(H338:H346)</f>
        <v>0</v>
      </c>
      <c r="I347" s="44"/>
      <c r="J347" s="39"/>
      <c r="K347" s="42"/>
      <c r="L347" s="39"/>
      <c r="N347" s="39"/>
    </row>
    <row r="349" spans="1:8" s="4" customFormat="1" ht="12.75">
      <c r="A349" s="20"/>
      <c r="B349" s="39">
        <v>22</v>
      </c>
      <c r="C349" s="34"/>
      <c r="D349" s="8"/>
      <c r="E349" s="1"/>
      <c r="F349" s="6"/>
      <c r="G349" s="6"/>
      <c r="H349" s="17"/>
    </row>
    <row r="350" spans="2:14" s="43" customFormat="1" ht="15" customHeight="1">
      <c r="B350" s="39" t="s">
        <v>3</v>
      </c>
      <c r="C350" s="38" t="s">
        <v>177</v>
      </c>
      <c r="D350" s="38"/>
      <c r="E350" s="39" t="s">
        <v>4</v>
      </c>
      <c r="F350" s="40" t="s">
        <v>5</v>
      </c>
      <c r="G350" s="40" t="s">
        <v>6</v>
      </c>
      <c r="H350" s="41" t="s">
        <v>7</v>
      </c>
      <c r="I350" s="44"/>
      <c r="J350" s="39"/>
      <c r="K350" s="42"/>
      <c r="L350" s="39"/>
      <c r="N350" s="39"/>
    </row>
    <row r="351" spans="1:9" s="88" customFormat="1" ht="25.5">
      <c r="A351" s="82"/>
      <c r="B351" s="83">
        <v>190</v>
      </c>
      <c r="C351" s="83">
        <v>185804251</v>
      </c>
      <c r="D351" s="84" t="s">
        <v>168</v>
      </c>
      <c r="E351" s="83" t="s">
        <v>0</v>
      </c>
      <c r="F351" s="85">
        <v>150</v>
      </c>
      <c r="G351" s="85"/>
      <c r="H351" s="86">
        <f>G351*F351</f>
        <v>0</v>
      </c>
      <c r="I351" s="87"/>
    </row>
    <row r="352" spans="1:14" s="43" customFormat="1" ht="15" customHeight="1">
      <c r="A352" s="39"/>
      <c r="B352" s="39"/>
      <c r="C352" s="38"/>
      <c r="D352" s="38" t="s">
        <v>178</v>
      </c>
      <c r="E352" s="39"/>
      <c r="F352" s="40"/>
      <c r="G352" s="40"/>
      <c r="H352" s="41">
        <f>SUM(H351)</f>
        <v>0</v>
      </c>
      <c r="I352" s="44"/>
      <c r="J352" s="39"/>
      <c r="K352" s="42"/>
      <c r="L352" s="39"/>
      <c r="N352" s="39"/>
    </row>
    <row r="353" spans="1:9" s="4" customFormat="1" ht="12.75">
      <c r="A353" s="20"/>
      <c r="C353" s="20"/>
      <c r="D353" s="8"/>
      <c r="E353" s="9"/>
      <c r="F353" s="26"/>
      <c r="G353" s="26"/>
      <c r="H353" s="11"/>
      <c r="I353" s="22"/>
    </row>
    <row r="354" spans="1:8" s="4" customFormat="1" ht="12.75">
      <c r="A354" s="20"/>
      <c r="B354" s="39">
        <v>23</v>
      </c>
      <c r="C354" s="34"/>
      <c r="D354" s="8"/>
      <c r="E354" s="1"/>
      <c r="F354" s="6"/>
      <c r="G354" s="6"/>
      <c r="H354" s="17"/>
    </row>
    <row r="355" spans="2:14" s="43" customFormat="1" ht="15" customHeight="1">
      <c r="B355" s="39" t="s">
        <v>3</v>
      </c>
      <c r="C355" s="38" t="s">
        <v>179</v>
      </c>
      <c r="D355" s="38"/>
      <c r="E355" s="39" t="s">
        <v>4</v>
      </c>
      <c r="F355" s="40" t="s">
        <v>5</v>
      </c>
      <c r="G355" s="40" t="s">
        <v>6</v>
      </c>
      <c r="H355" s="41" t="s">
        <v>7</v>
      </c>
      <c r="I355" s="44"/>
      <c r="J355" s="39"/>
      <c r="K355" s="42"/>
      <c r="L355" s="39"/>
      <c r="N355" s="39"/>
    </row>
    <row r="356" spans="1:9" s="88" customFormat="1" ht="25.5">
      <c r="A356" s="82"/>
      <c r="B356" s="83">
        <v>191</v>
      </c>
      <c r="C356" s="83">
        <v>111151131</v>
      </c>
      <c r="D356" s="84" t="s">
        <v>165</v>
      </c>
      <c r="E356" s="83" t="s">
        <v>0</v>
      </c>
      <c r="F356" s="85">
        <v>430</v>
      </c>
      <c r="G356" s="85"/>
      <c r="H356" s="86">
        <f>G356*F356</f>
        <v>0</v>
      </c>
      <c r="I356" s="87"/>
    </row>
    <row r="357" spans="1:14" s="43" customFormat="1" ht="15" customHeight="1">
      <c r="A357" s="39"/>
      <c r="B357" s="39"/>
      <c r="C357" s="38"/>
      <c r="D357" s="38" t="s">
        <v>180</v>
      </c>
      <c r="E357" s="39"/>
      <c r="F357" s="40"/>
      <c r="G357" s="40"/>
      <c r="H357" s="41">
        <f>SUM(H356:H356)</f>
        <v>0</v>
      </c>
      <c r="I357" s="44"/>
      <c r="J357" s="39"/>
      <c r="K357" s="42"/>
      <c r="L357" s="39"/>
      <c r="N357" s="39"/>
    </row>
    <row r="358" spans="1:9" s="4" customFormat="1" ht="12.75">
      <c r="A358" s="20"/>
      <c r="B358" s="9"/>
      <c r="C358" s="20"/>
      <c r="D358" s="8"/>
      <c r="E358" s="9"/>
      <c r="F358" s="26"/>
      <c r="G358" s="26"/>
      <c r="H358" s="11"/>
      <c r="I358" s="22"/>
    </row>
    <row r="359" spans="1:8" s="4" customFormat="1" ht="12.75">
      <c r="A359" s="20"/>
      <c r="B359" s="39">
        <v>24</v>
      </c>
      <c r="C359" s="34"/>
      <c r="D359" s="8"/>
      <c r="E359" s="1"/>
      <c r="F359" s="6"/>
      <c r="G359" s="6"/>
      <c r="H359" s="17"/>
    </row>
    <row r="360" spans="2:14" s="43" customFormat="1" ht="15" customHeight="1">
      <c r="B360" s="39" t="s">
        <v>3</v>
      </c>
      <c r="C360" s="38" t="s">
        <v>57</v>
      </c>
      <c r="D360" s="38"/>
      <c r="E360" s="39" t="s">
        <v>4</v>
      </c>
      <c r="F360" s="40" t="s">
        <v>5</v>
      </c>
      <c r="G360" s="40" t="s">
        <v>6</v>
      </c>
      <c r="H360" s="41" t="s">
        <v>7</v>
      </c>
      <c r="I360" s="44"/>
      <c r="J360" s="39"/>
      <c r="K360" s="42"/>
      <c r="L360" s="39"/>
      <c r="N360" s="39"/>
    </row>
    <row r="361" spans="1:9" s="88" customFormat="1" ht="25.5">
      <c r="A361" s="82"/>
      <c r="B361" s="83">
        <v>192</v>
      </c>
      <c r="C361" s="83">
        <v>111151121</v>
      </c>
      <c r="D361" s="84" t="s">
        <v>118</v>
      </c>
      <c r="E361" s="83" t="s">
        <v>0</v>
      </c>
      <c r="F361" s="85">
        <f>54*6</f>
        <v>324</v>
      </c>
      <c r="G361" s="85"/>
      <c r="H361" s="86">
        <f>G361*F361</f>
        <v>0</v>
      </c>
      <c r="I361" s="87"/>
    </row>
    <row r="362" spans="1:14" s="43" customFormat="1" ht="15" customHeight="1">
      <c r="A362" s="39"/>
      <c r="B362" s="39"/>
      <c r="C362" s="38"/>
      <c r="D362" s="38" t="s">
        <v>58</v>
      </c>
      <c r="E362" s="39"/>
      <c r="F362" s="40"/>
      <c r="G362" s="40"/>
      <c r="H362" s="41">
        <f>SUM(H361:H361)</f>
        <v>0</v>
      </c>
      <c r="I362" s="44"/>
      <c r="J362" s="39"/>
      <c r="K362" s="42"/>
      <c r="L362" s="39"/>
      <c r="N362" s="39"/>
    </row>
    <row r="363" spans="1:9" s="4" customFormat="1" ht="12.75">
      <c r="A363" s="20"/>
      <c r="B363" s="9"/>
      <c r="C363" s="20"/>
      <c r="D363" s="8"/>
      <c r="E363" s="9"/>
      <c r="F363" s="26"/>
      <c r="G363" s="26"/>
      <c r="H363" s="11"/>
      <c r="I363" s="22"/>
    </row>
    <row r="364" spans="2:9" ht="13.5" customHeight="1">
      <c r="B364" s="39">
        <v>25</v>
      </c>
      <c r="D364" s="33"/>
      <c r="E364" s="3"/>
      <c r="F364" s="18"/>
      <c r="G364" s="27"/>
      <c r="H364" s="28"/>
      <c r="I364" s="2"/>
    </row>
    <row r="365" spans="2:14" s="43" customFormat="1" ht="15" customHeight="1">
      <c r="B365" s="39" t="s">
        <v>3</v>
      </c>
      <c r="C365" s="38" t="s">
        <v>181</v>
      </c>
      <c r="D365" s="38"/>
      <c r="E365" s="39" t="s">
        <v>4</v>
      </c>
      <c r="F365" s="40" t="s">
        <v>5</v>
      </c>
      <c r="G365" s="40" t="s">
        <v>6</v>
      </c>
      <c r="H365" s="41" t="s">
        <v>7</v>
      </c>
      <c r="I365" s="44"/>
      <c r="J365" s="39"/>
      <c r="K365" s="42"/>
      <c r="L365" s="39"/>
      <c r="N365" s="39"/>
    </row>
    <row r="366" spans="1:9" s="88" customFormat="1" ht="25.5">
      <c r="A366" s="82"/>
      <c r="B366" s="83">
        <v>193</v>
      </c>
      <c r="C366" s="83">
        <v>185804213</v>
      </c>
      <c r="D366" s="84" t="s">
        <v>253</v>
      </c>
      <c r="E366" s="83" t="s">
        <v>0</v>
      </c>
      <c r="F366" s="85">
        <f>+(3*8*3.14*0.5*0.5)</f>
        <v>18.84</v>
      </c>
      <c r="G366" s="85"/>
      <c r="H366" s="86">
        <f>G366*F366</f>
        <v>0</v>
      </c>
      <c r="I366" s="87"/>
    </row>
    <row r="367" spans="1:9" s="88" customFormat="1" ht="12.75">
      <c r="A367" s="82"/>
      <c r="B367" s="83">
        <v>194</v>
      </c>
      <c r="C367" s="83">
        <v>185804312</v>
      </c>
      <c r="D367" s="84" t="s">
        <v>255</v>
      </c>
      <c r="E367" s="83" t="s">
        <v>13</v>
      </c>
      <c r="F367" s="85">
        <f>5*19*0.1</f>
        <v>9.5</v>
      </c>
      <c r="G367" s="85"/>
      <c r="H367" s="86">
        <f>G367*F367</f>
        <v>0</v>
      </c>
      <c r="I367" s="87"/>
    </row>
    <row r="368" spans="1:9" s="88" customFormat="1" ht="12.75">
      <c r="A368" s="82"/>
      <c r="B368" s="83">
        <v>195</v>
      </c>
      <c r="C368" s="83">
        <v>185851121</v>
      </c>
      <c r="D368" s="84" t="s">
        <v>155</v>
      </c>
      <c r="E368" s="83" t="s">
        <v>13</v>
      </c>
      <c r="F368" s="85">
        <f>+F367</f>
        <v>9.5</v>
      </c>
      <c r="G368" s="85"/>
      <c r="H368" s="86">
        <f aca="true" t="shared" si="40" ref="H368:H369">+F368*G368</f>
        <v>0</v>
      </c>
      <c r="I368" s="87"/>
    </row>
    <row r="369" spans="1:9" s="88" customFormat="1" ht="25.5">
      <c r="A369" s="82"/>
      <c r="B369" s="83">
        <v>196</v>
      </c>
      <c r="C369" s="83">
        <v>185851129</v>
      </c>
      <c r="D369" s="84" t="s">
        <v>85</v>
      </c>
      <c r="E369" s="83" t="s">
        <v>13</v>
      </c>
      <c r="F369" s="85">
        <f>+F368</f>
        <v>9.5</v>
      </c>
      <c r="G369" s="85"/>
      <c r="H369" s="86">
        <f t="shared" si="40"/>
        <v>0</v>
      </c>
      <c r="I369" s="87"/>
    </row>
    <row r="370" spans="1:9" s="88" customFormat="1" ht="12.75">
      <c r="A370" s="82"/>
      <c r="B370" s="83">
        <v>197</v>
      </c>
      <c r="C370" s="83">
        <v>184911111</v>
      </c>
      <c r="D370" s="84" t="s">
        <v>251</v>
      </c>
      <c r="E370" s="83" t="s">
        <v>1</v>
      </c>
      <c r="F370" s="85">
        <f>+(19*3*0.1)</f>
        <v>5.7</v>
      </c>
      <c r="G370" s="85"/>
      <c r="H370" s="86">
        <f aca="true" t="shared" si="41" ref="H370:H372">G370*F370</f>
        <v>0</v>
      </c>
      <c r="I370" s="87"/>
    </row>
    <row r="371" spans="1:9" s="88" customFormat="1" ht="12.75">
      <c r="A371" s="82"/>
      <c r="B371" s="83">
        <v>198</v>
      </c>
      <c r="C371" s="83" t="s">
        <v>20</v>
      </c>
      <c r="D371" s="84" t="s">
        <v>252</v>
      </c>
      <c r="E371" s="83" t="s">
        <v>1</v>
      </c>
      <c r="F371" s="85">
        <f>+(19*3*0.1)</f>
        <v>5.7</v>
      </c>
      <c r="G371" s="85"/>
      <c r="H371" s="86">
        <f t="shared" si="41"/>
        <v>0</v>
      </c>
      <c r="I371" s="87"/>
    </row>
    <row r="372" spans="1:8" s="88" customFormat="1" ht="25.5">
      <c r="A372" s="82"/>
      <c r="B372" s="83">
        <v>199</v>
      </c>
      <c r="C372" s="83">
        <v>185802114</v>
      </c>
      <c r="D372" s="84" t="s">
        <v>169</v>
      </c>
      <c r="E372" s="83" t="s">
        <v>8</v>
      </c>
      <c r="F372" s="96">
        <f>+19*100*0.001*0.001</f>
        <v>0.0019000000000000002</v>
      </c>
      <c r="G372" s="85"/>
      <c r="H372" s="86">
        <f t="shared" si="41"/>
        <v>0</v>
      </c>
    </row>
    <row r="373" spans="1:9" s="88" customFormat="1" ht="12.75">
      <c r="A373" s="82"/>
      <c r="B373" s="83">
        <v>200</v>
      </c>
      <c r="C373" s="83" t="s">
        <v>9</v>
      </c>
      <c r="D373" s="84" t="s">
        <v>156</v>
      </c>
      <c r="E373" s="83" t="s">
        <v>1</v>
      </c>
      <c r="F373" s="85">
        <f>+F370</f>
        <v>5.7</v>
      </c>
      <c r="G373" s="85"/>
      <c r="H373" s="86">
        <f>G373*F373</f>
        <v>0</v>
      </c>
      <c r="I373" s="87"/>
    </row>
    <row r="374" spans="1:9" s="88" customFormat="1" ht="12.75">
      <c r="A374" s="82"/>
      <c r="B374" s="83">
        <v>201</v>
      </c>
      <c r="C374" s="83" t="s">
        <v>9</v>
      </c>
      <c r="D374" s="84" t="s">
        <v>23</v>
      </c>
      <c r="E374" s="83" t="s">
        <v>10</v>
      </c>
      <c r="F374" s="96">
        <f>+F372*1000</f>
        <v>1.9000000000000001</v>
      </c>
      <c r="G374" s="85"/>
      <c r="H374" s="86">
        <f>G374*F374</f>
        <v>0</v>
      </c>
      <c r="I374" s="87"/>
    </row>
    <row r="375" spans="1:14" s="43" customFormat="1" ht="15" customHeight="1">
      <c r="A375" s="39"/>
      <c r="B375" s="39"/>
      <c r="C375" s="38"/>
      <c r="D375" s="38" t="s">
        <v>182</v>
      </c>
      <c r="E375" s="39"/>
      <c r="F375" s="40"/>
      <c r="G375" s="40"/>
      <c r="H375" s="41">
        <f>SUM(H366:H374)</f>
        <v>0</v>
      </c>
      <c r="I375" s="44"/>
      <c r="J375" s="39"/>
      <c r="K375" s="42"/>
      <c r="L375" s="39"/>
      <c r="N375" s="39"/>
    </row>
    <row r="376" spans="1:14" s="43" customFormat="1" ht="15" customHeight="1">
      <c r="A376" s="39"/>
      <c r="B376" s="39"/>
      <c r="C376" s="38"/>
      <c r="D376" s="38"/>
      <c r="E376" s="39"/>
      <c r="F376" s="40"/>
      <c r="G376" s="40"/>
      <c r="H376" s="41"/>
      <c r="I376" s="44"/>
      <c r="J376" s="39"/>
      <c r="K376" s="42"/>
      <c r="L376" s="39"/>
      <c r="N376" s="39"/>
    </row>
    <row r="377" spans="2:9" ht="13.5" customHeight="1">
      <c r="B377" s="39">
        <v>26</v>
      </c>
      <c r="D377" s="33"/>
      <c r="E377" s="3"/>
      <c r="F377" s="18"/>
      <c r="G377" s="27"/>
      <c r="H377" s="28"/>
      <c r="I377" s="2"/>
    </row>
    <row r="378" spans="2:14" s="43" customFormat="1" ht="15" customHeight="1">
      <c r="B378" s="39" t="s">
        <v>3</v>
      </c>
      <c r="C378" s="38" t="s">
        <v>183</v>
      </c>
      <c r="D378" s="38"/>
      <c r="E378" s="39" t="s">
        <v>4</v>
      </c>
      <c r="F378" s="40" t="s">
        <v>5</v>
      </c>
      <c r="G378" s="40" t="s">
        <v>6</v>
      </c>
      <c r="H378" s="41" t="s">
        <v>7</v>
      </c>
      <c r="I378" s="44"/>
      <c r="J378" s="39"/>
      <c r="K378" s="42"/>
      <c r="L378" s="39"/>
      <c r="N378" s="39"/>
    </row>
    <row r="379" spans="1:9" s="88" customFormat="1" ht="38.25">
      <c r="A379" s="82"/>
      <c r="B379" s="83">
        <v>202</v>
      </c>
      <c r="C379" s="83">
        <v>185804214</v>
      </c>
      <c r="D379" s="84" t="s">
        <v>158</v>
      </c>
      <c r="E379" s="83" t="s">
        <v>0</v>
      </c>
      <c r="F379" s="85">
        <f>+(178+295+190+7+40)*3</f>
        <v>2130</v>
      </c>
      <c r="G379" s="85"/>
      <c r="H379" s="86">
        <f>G379*F379</f>
        <v>0</v>
      </c>
      <c r="I379" s="87"/>
    </row>
    <row r="380" spans="1:9" s="88" customFormat="1" ht="38.25">
      <c r="A380" s="82"/>
      <c r="B380" s="83">
        <v>203</v>
      </c>
      <c r="C380" s="83">
        <v>185804234</v>
      </c>
      <c r="D380" s="84" t="s">
        <v>159</v>
      </c>
      <c r="E380" s="83" t="s">
        <v>0</v>
      </c>
      <c r="F380" s="85">
        <f>+(67+39+30)*3</f>
        <v>408</v>
      </c>
      <c r="G380" s="85"/>
      <c r="H380" s="86">
        <f>G380*F380</f>
        <v>0</v>
      </c>
      <c r="I380" s="87"/>
    </row>
    <row r="381" spans="1:9" s="88" customFormat="1" ht="25.5">
      <c r="A381" s="82"/>
      <c r="B381" s="83">
        <v>204</v>
      </c>
      <c r="C381" s="83">
        <v>185804312</v>
      </c>
      <c r="D381" s="84" t="s">
        <v>204</v>
      </c>
      <c r="E381" s="83" t="s">
        <v>13</v>
      </c>
      <c r="F381" s="85">
        <f>+(178+295+190+7+40+67+39+30)*5*0.02</f>
        <v>84.60000000000001</v>
      </c>
      <c r="G381" s="85"/>
      <c r="H381" s="86">
        <f>G381*F381</f>
        <v>0</v>
      </c>
      <c r="I381" s="87"/>
    </row>
    <row r="382" spans="1:9" s="88" customFormat="1" ht="12.75">
      <c r="A382" s="82"/>
      <c r="B382" s="83">
        <v>205</v>
      </c>
      <c r="C382" s="83">
        <v>185851121</v>
      </c>
      <c r="D382" s="84" t="s">
        <v>155</v>
      </c>
      <c r="E382" s="83" t="s">
        <v>13</v>
      </c>
      <c r="F382" s="85">
        <f>+F381</f>
        <v>84.60000000000001</v>
      </c>
      <c r="G382" s="85"/>
      <c r="H382" s="86">
        <f aca="true" t="shared" si="42" ref="H382:H383">+F382*G382</f>
        <v>0</v>
      </c>
      <c r="I382" s="87"/>
    </row>
    <row r="383" spans="1:9" s="88" customFormat="1" ht="25.5">
      <c r="A383" s="82"/>
      <c r="B383" s="83">
        <v>206</v>
      </c>
      <c r="C383" s="83">
        <v>185851129</v>
      </c>
      <c r="D383" s="84" t="s">
        <v>85</v>
      </c>
      <c r="E383" s="83" t="s">
        <v>13</v>
      </c>
      <c r="F383" s="85">
        <f>+F382</f>
        <v>84.60000000000001</v>
      </c>
      <c r="G383" s="85"/>
      <c r="H383" s="86">
        <f t="shared" si="42"/>
        <v>0</v>
      </c>
      <c r="I383" s="87"/>
    </row>
    <row r="384" spans="1:9" s="88" customFormat="1" ht="38.25">
      <c r="A384" s="82"/>
      <c r="B384" s="83">
        <v>207</v>
      </c>
      <c r="C384" s="83">
        <v>185802114</v>
      </c>
      <c r="D384" s="84" t="s">
        <v>170</v>
      </c>
      <c r="E384" s="83" t="s">
        <v>8</v>
      </c>
      <c r="F384" s="94">
        <f>+(178+295+190+7+40+67+39+30)*20*0.001*0.001</f>
        <v>0.01692</v>
      </c>
      <c r="G384" s="85"/>
      <c r="H384" s="86">
        <f aca="true" t="shared" si="43" ref="H384:H385">G384*F384</f>
        <v>0</v>
      </c>
      <c r="I384" s="87"/>
    </row>
    <row r="385" spans="1:9" s="88" customFormat="1" ht="12.75">
      <c r="A385" s="82"/>
      <c r="B385" s="83">
        <v>208</v>
      </c>
      <c r="C385" s="83" t="s">
        <v>9</v>
      </c>
      <c r="D385" s="84" t="s">
        <v>23</v>
      </c>
      <c r="E385" s="83" t="s">
        <v>10</v>
      </c>
      <c r="F385" s="85">
        <f>+F384*1000</f>
        <v>16.92</v>
      </c>
      <c r="G385" s="85"/>
      <c r="H385" s="86">
        <f t="shared" si="43"/>
        <v>0</v>
      </c>
      <c r="I385" s="87"/>
    </row>
    <row r="386" spans="1:14" s="43" customFormat="1" ht="15" customHeight="1">
      <c r="A386" s="39"/>
      <c r="B386" s="39"/>
      <c r="C386" s="38"/>
      <c r="D386" s="38" t="s">
        <v>184</v>
      </c>
      <c r="E386" s="39"/>
      <c r="F386" s="40"/>
      <c r="G386" s="40"/>
      <c r="H386" s="41">
        <f>SUM(H379:H385)</f>
        <v>0</v>
      </c>
      <c r="I386" s="44"/>
      <c r="J386" s="39"/>
      <c r="K386" s="42"/>
      <c r="L386" s="39"/>
      <c r="N386" s="39"/>
    </row>
    <row r="387" spans="1:9" s="4" customFormat="1" ht="12.75">
      <c r="A387" s="20"/>
      <c r="B387" s="9"/>
      <c r="C387" s="20"/>
      <c r="D387" s="8"/>
      <c r="E387" s="9"/>
      <c r="F387" s="26"/>
      <c r="G387" s="26"/>
      <c r="H387" s="11"/>
      <c r="I387" s="22"/>
    </row>
    <row r="388" spans="1:8" s="4" customFormat="1" ht="12.75">
      <c r="A388" s="20"/>
      <c r="B388" s="39">
        <v>27</v>
      </c>
      <c r="C388" s="34"/>
      <c r="D388" s="8"/>
      <c r="E388" s="1"/>
      <c r="F388" s="6"/>
      <c r="G388" s="6"/>
      <c r="H388" s="17"/>
    </row>
    <row r="389" spans="2:14" s="43" customFormat="1" ht="15" customHeight="1">
      <c r="B389" s="39" t="s">
        <v>3</v>
      </c>
      <c r="C389" s="38" t="s">
        <v>185</v>
      </c>
      <c r="D389" s="38"/>
      <c r="E389" s="39" t="s">
        <v>4</v>
      </c>
      <c r="F389" s="40" t="s">
        <v>5</v>
      </c>
      <c r="G389" s="40" t="s">
        <v>6</v>
      </c>
      <c r="H389" s="41" t="s">
        <v>7</v>
      </c>
      <c r="I389" s="44"/>
      <c r="J389" s="39"/>
      <c r="K389" s="42"/>
      <c r="L389" s="39"/>
      <c r="N389" s="39"/>
    </row>
    <row r="390" spans="1:9" s="88" customFormat="1" ht="25.5">
      <c r="A390" s="82"/>
      <c r="B390" s="83">
        <v>209</v>
      </c>
      <c r="C390" s="83">
        <v>185804251</v>
      </c>
      <c r="D390" s="84" t="s">
        <v>168</v>
      </c>
      <c r="E390" s="83" t="s">
        <v>0</v>
      </c>
      <c r="F390" s="85">
        <v>150</v>
      </c>
      <c r="G390" s="85"/>
      <c r="H390" s="86">
        <f>G390*F390</f>
        <v>0</v>
      </c>
      <c r="I390" s="87"/>
    </row>
    <row r="391" spans="1:14" s="43" customFormat="1" ht="15" customHeight="1">
      <c r="A391" s="39"/>
      <c r="B391" s="39"/>
      <c r="C391" s="38"/>
      <c r="D391" s="38" t="s">
        <v>186</v>
      </c>
      <c r="E391" s="39"/>
      <c r="F391" s="40"/>
      <c r="G391" s="40"/>
      <c r="H391" s="41">
        <f>SUM(H390)</f>
        <v>0</v>
      </c>
      <c r="I391" s="44"/>
      <c r="J391" s="39"/>
      <c r="K391" s="42"/>
      <c r="L391" s="39"/>
      <c r="N391" s="39"/>
    </row>
    <row r="393" spans="1:8" s="4" customFormat="1" ht="12.75">
      <c r="A393" s="20"/>
      <c r="B393" s="39">
        <v>28</v>
      </c>
      <c r="C393" s="34"/>
      <c r="D393" s="8"/>
      <c r="E393" s="1"/>
      <c r="F393" s="6"/>
      <c r="G393" s="6"/>
      <c r="H393" s="17"/>
    </row>
    <row r="394" spans="2:14" s="43" customFormat="1" ht="15" customHeight="1">
      <c r="B394" s="39" t="s">
        <v>3</v>
      </c>
      <c r="C394" s="38" t="s">
        <v>187</v>
      </c>
      <c r="D394" s="38"/>
      <c r="E394" s="39" t="s">
        <v>4</v>
      </c>
      <c r="F394" s="40" t="s">
        <v>5</v>
      </c>
      <c r="G394" s="40" t="s">
        <v>6</v>
      </c>
      <c r="H394" s="41" t="s">
        <v>7</v>
      </c>
      <c r="I394" s="44"/>
      <c r="J394" s="39"/>
      <c r="K394" s="42"/>
      <c r="L394" s="39"/>
      <c r="N394" s="39"/>
    </row>
    <row r="395" spans="1:9" s="88" customFormat="1" ht="25.5">
      <c r="A395" s="82"/>
      <c r="B395" s="83">
        <v>210</v>
      </c>
      <c r="C395" s="83">
        <v>184802111</v>
      </c>
      <c r="D395" s="84" t="s">
        <v>105</v>
      </c>
      <c r="E395" s="83" t="s">
        <v>0</v>
      </c>
      <c r="F395" s="85">
        <f>+(217+77+136)</f>
        <v>430</v>
      </c>
      <c r="G395" s="85"/>
      <c r="H395" s="86">
        <f>+F395*G395</f>
        <v>0</v>
      </c>
      <c r="I395" s="87"/>
    </row>
    <row r="396" spans="1:9" s="88" customFormat="1" ht="25.5">
      <c r="A396" s="82"/>
      <c r="B396" s="83">
        <v>211</v>
      </c>
      <c r="C396" s="83">
        <v>181111111</v>
      </c>
      <c r="D396" s="84" t="s">
        <v>106</v>
      </c>
      <c r="E396" s="83" t="s">
        <v>0</v>
      </c>
      <c r="F396" s="85">
        <f>+F395</f>
        <v>430</v>
      </c>
      <c r="G396" s="85"/>
      <c r="H396" s="86">
        <f aca="true" t="shared" si="44" ref="H396:H397">G396*F396</f>
        <v>0</v>
      </c>
      <c r="I396" s="87"/>
    </row>
    <row r="397" spans="1:9" s="88" customFormat="1" ht="12.75">
      <c r="A397" s="82"/>
      <c r="B397" s="83">
        <v>212</v>
      </c>
      <c r="C397" s="83">
        <v>183403114</v>
      </c>
      <c r="D397" s="84" t="s">
        <v>107</v>
      </c>
      <c r="E397" s="83" t="s">
        <v>0</v>
      </c>
      <c r="F397" s="85">
        <f>+(F396)*2</f>
        <v>860</v>
      </c>
      <c r="G397" s="85"/>
      <c r="H397" s="86">
        <f t="shared" si="44"/>
        <v>0</v>
      </c>
      <c r="I397" s="87"/>
    </row>
    <row r="398" spans="1:9" s="88" customFormat="1" ht="25.5">
      <c r="A398" s="82"/>
      <c r="B398" s="83">
        <v>213</v>
      </c>
      <c r="C398" s="83">
        <v>181301101</v>
      </c>
      <c r="D398" s="84" t="s">
        <v>110</v>
      </c>
      <c r="E398" s="83" t="s">
        <v>0</v>
      </c>
      <c r="F398" s="85">
        <v>430</v>
      </c>
      <c r="G398" s="85"/>
      <c r="H398" s="86">
        <f>G398*F398</f>
        <v>0</v>
      </c>
      <c r="I398" s="87"/>
    </row>
    <row r="399" spans="1:9" s="88" customFormat="1" ht="12.75">
      <c r="A399" s="82"/>
      <c r="B399" s="83">
        <v>214</v>
      </c>
      <c r="C399" s="83">
        <v>183403153</v>
      </c>
      <c r="D399" s="84" t="s">
        <v>108</v>
      </c>
      <c r="E399" s="83" t="s">
        <v>0</v>
      </c>
      <c r="F399" s="85">
        <f>+F398*2</f>
        <v>860</v>
      </c>
      <c r="G399" s="85"/>
      <c r="H399" s="86">
        <f aca="true" t="shared" si="45" ref="H399:H401">G399*F399</f>
        <v>0</v>
      </c>
      <c r="I399" s="87"/>
    </row>
    <row r="400" spans="1:9" s="88" customFormat="1" ht="25.5">
      <c r="A400" s="82"/>
      <c r="B400" s="83">
        <v>215</v>
      </c>
      <c r="C400" s="83">
        <v>181411121</v>
      </c>
      <c r="D400" s="84" t="s">
        <v>109</v>
      </c>
      <c r="E400" s="83" t="s">
        <v>0</v>
      </c>
      <c r="F400" s="85">
        <f>+F395</f>
        <v>430</v>
      </c>
      <c r="G400" s="85"/>
      <c r="H400" s="86">
        <f t="shared" si="45"/>
        <v>0</v>
      </c>
      <c r="I400" s="87"/>
    </row>
    <row r="401" spans="1:9" s="88" customFormat="1" ht="51" customHeight="1">
      <c r="A401" s="82"/>
      <c r="B401" s="83">
        <v>216</v>
      </c>
      <c r="C401" s="83" t="s">
        <v>111</v>
      </c>
      <c r="D401" s="84" t="s">
        <v>112</v>
      </c>
      <c r="E401" s="83" t="s">
        <v>0</v>
      </c>
      <c r="F401" s="85">
        <f>+F400</f>
        <v>430</v>
      </c>
      <c r="G401" s="85"/>
      <c r="H401" s="86">
        <f t="shared" si="45"/>
        <v>0</v>
      </c>
      <c r="I401" s="87"/>
    </row>
    <row r="402" spans="1:9" s="88" customFormat="1" ht="25.5">
      <c r="A402" s="82"/>
      <c r="B402" s="83">
        <v>217</v>
      </c>
      <c r="C402" s="83">
        <v>185804312</v>
      </c>
      <c r="D402" s="84" t="s">
        <v>164</v>
      </c>
      <c r="E402" s="83" t="s">
        <v>13</v>
      </c>
      <c r="F402" s="85">
        <f>+(430*0.02*5)</f>
        <v>43</v>
      </c>
      <c r="G402" s="85"/>
      <c r="H402" s="86">
        <f aca="true" t="shared" si="46" ref="H402">G402*F402</f>
        <v>0</v>
      </c>
      <c r="I402" s="87"/>
    </row>
    <row r="403" spans="1:9" s="88" customFormat="1" ht="12.75">
      <c r="A403" s="82"/>
      <c r="B403" s="83">
        <v>218</v>
      </c>
      <c r="C403" s="83">
        <v>185851121</v>
      </c>
      <c r="D403" s="84" t="s">
        <v>21</v>
      </c>
      <c r="E403" s="83" t="s">
        <v>13</v>
      </c>
      <c r="F403" s="85">
        <f>+F402</f>
        <v>43</v>
      </c>
      <c r="G403" s="85"/>
      <c r="H403" s="86">
        <f aca="true" t="shared" si="47" ref="H403:H404">+F403*G403</f>
        <v>0</v>
      </c>
      <c r="I403" s="87"/>
    </row>
    <row r="404" spans="1:9" s="88" customFormat="1" ht="25.5">
      <c r="A404" s="82"/>
      <c r="B404" s="83">
        <v>219</v>
      </c>
      <c r="C404" s="83">
        <v>185851129</v>
      </c>
      <c r="D404" s="84" t="s">
        <v>85</v>
      </c>
      <c r="E404" s="83" t="s">
        <v>13</v>
      </c>
      <c r="F404" s="85">
        <f>+F403</f>
        <v>43</v>
      </c>
      <c r="G404" s="85"/>
      <c r="H404" s="86">
        <f t="shared" si="47"/>
        <v>0</v>
      </c>
      <c r="I404" s="87"/>
    </row>
    <row r="405" spans="1:9" s="88" customFormat="1" ht="25.5">
      <c r="A405" s="82"/>
      <c r="B405" s="83">
        <v>220</v>
      </c>
      <c r="C405" s="83">
        <v>111151131</v>
      </c>
      <c r="D405" s="84" t="s">
        <v>165</v>
      </c>
      <c r="E405" s="83" t="s">
        <v>0</v>
      </c>
      <c r="F405" s="85">
        <v>430</v>
      </c>
      <c r="G405" s="85"/>
      <c r="H405" s="86">
        <f>G405*F405</f>
        <v>0</v>
      </c>
      <c r="I405" s="87"/>
    </row>
    <row r="406" spans="1:9" s="88" customFormat="1" ht="38.25">
      <c r="A406" s="82"/>
      <c r="B406" s="83">
        <v>221</v>
      </c>
      <c r="C406" s="83" t="s">
        <v>9</v>
      </c>
      <c r="D406" s="84" t="s">
        <v>222</v>
      </c>
      <c r="E406" s="83" t="s">
        <v>13</v>
      </c>
      <c r="F406" s="85">
        <f>F398*0.04</f>
        <v>17.2</v>
      </c>
      <c r="G406" s="85"/>
      <c r="H406" s="86">
        <f>G406*F406</f>
        <v>0</v>
      </c>
      <c r="I406" s="87"/>
    </row>
    <row r="407" spans="1:9" s="88" customFormat="1" ht="25.5">
      <c r="A407" s="82"/>
      <c r="B407" s="83">
        <v>222</v>
      </c>
      <c r="C407" s="83" t="s">
        <v>9</v>
      </c>
      <c r="D407" s="84" t="s">
        <v>130</v>
      </c>
      <c r="E407" s="83" t="s">
        <v>10</v>
      </c>
      <c r="F407" s="85">
        <f>+(1000+360+640)*0.001</f>
        <v>2</v>
      </c>
      <c r="G407" s="85"/>
      <c r="H407" s="86">
        <f>G407*F407</f>
        <v>0</v>
      </c>
      <c r="I407" s="87"/>
    </row>
    <row r="408" spans="1:9" s="88" customFormat="1" ht="12.75">
      <c r="A408" s="82"/>
      <c r="B408" s="83">
        <v>223</v>
      </c>
      <c r="C408" s="83" t="s">
        <v>9</v>
      </c>
      <c r="D408" s="84" t="s">
        <v>86</v>
      </c>
      <c r="E408" s="83" t="s">
        <v>87</v>
      </c>
      <c r="F408" s="85">
        <f>10*F395/10000</f>
        <v>0.43</v>
      </c>
      <c r="G408" s="85"/>
      <c r="H408" s="86">
        <f>G408*F408</f>
        <v>0</v>
      </c>
      <c r="I408" s="87"/>
    </row>
    <row r="409" spans="1:14" s="43" customFormat="1" ht="15" customHeight="1">
      <c r="A409" s="39"/>
      <c r="B409" s="39"/>
      <c r="C409" s="38"/>
      <c r="D409" s="38" t="s">
        <v>188</v>
      </c>
      <c r="E409" s="39"/>
      <c r="F409" s="40"/>
      <c r="G409" s="40"/>
      <c r="H409" s="41">
        <f>SUM(H395:H408)</f>
        <v>0</v>
      </c>
      <c r="I409" s="44"/>
      <c r="J409" s="39"/>
      <c r="K409" s="42"/>
      <c r="L409" s="39"/>
      <c r="N409" s="39"/>
    </row>
    <row r="410" spans="1:9" s="32" customFormat="1" ht="12.75">
      <c r="A410" s="9"/>
      <c r="B410" s="9"/>
      <c r="C410" s="9"/>
      <c r="D410" s="29"/>
      <c r="E410" s="9"/>
      <c r="F410" s="24"/>
      <c r="G410" s="26"/>
      <c r="H410" s="11"/>
      <c r="I410" s="23"/>
    </row>
    <row r="411" spans="1:8" s="4" customFormat="1" ht="12.75">
      <c r="A411" s="20"/>
      <c r="B411" s="39">
        <v>29</v>
      </c>
      <c r="C411" s="34"/>
      <c r="D411" s="8"/>
      <c r="E411" s="1"/>
      <c r="F411" s="6"/>
      <c r="G411" s="6"/>
      <c r="H411" s="17"/>
    </row>
    <row r="412" spans="2:14" s="43" customFormat="1" ht="15" customHeight="1">
      <c r="B412" s="39" t="s">
        <v>3</v>
      </c>
      <c r="C412" s="38" t="s">
        <v>189</v>
      </c>
      <c r="D412" s="38"/>
      <c r="E412" s="39" t="s">
        <v>4</v>
      </c>
      <c r="F412" s="40" t="s">
        <v>5</v>
      </c>
      <c r="G412" s="40" t="s">
        <v>6</v>
      </c>
      <c r="H412" s="41" t="s">
        <v>7</v>
      </c>
      <c r="I412" s="44"/>
      <c r="J412" s="39"/>
      <c r="K412" s="42"/>
      <c r="L412" s="39"/>
      <c r="N412" s="39"/>
    </row>
    <row r="413" spans="1:9" s="88" customFormat="1" ht="25.5">
      <c r="A413" s="82"/>
      <c r="B413" s="83">
        <v>224</v>
      </c>
      <c r="C413" s="83">
        <v>111151121</v>
      </c>
      <c r="D413" s="84" t="s">
        <v>118</v>
      </c>
      <c r="E413" s="83" t="s">
        <v>0</v>
      </c>
      <c r="F413" s="85">
        <f>54*6</f>
        <v>324</v>
      </c>
      <c r="G413" s="85"/>
      <c r="H413" s="86">
        <f>G413*F413</f>
        <v>0</v>
      </c>
      <c r="I413" s="87"/>
    </row>
    <row r="414" spans="1:14" s="43" customFormat="1" ht="15" customHeight="1">
      <c r="A414" s="39"/>
      <c r="B414" s="39"/>
      <c r="C414" s="38"/>
      <c r="D414" s="38" t="s">
        <v>190</v>
      </c>
      <c r="E414" s="39"/>
      <c r="F414" s="40"/>
      <c r="G414" s="40"/>
      <c r="H414" s="41">
        <f>SUM(H413:H413)</f>
        <v>0</v>
      </c>
      <c r="I414" s="44"/>
      <c r="J414" s="39"/>
      <c r="K414" s="42"/>
      <c r="L414" s="39"/>
      <c r="N414" s="39"/>
    </row>
    <row r="415" spans="7:9" ht="12.75">
      <c r="G415" s="6"/>
      <c r="I415" s="2"/>
    </row>
    <row r="416" spans="2:9" ht="13.5" customHeight="1">
      <c r="B416" s="39">
        <v>30</v>
      </c>
      <c r="D416" s="33"/>
      <c r="E416" s="3"/>
      <c r="F416" s="18"/>
      <c r="G416" s="27"/>
      <c r="H416" s="28"/>
      <c r="I416" s="2"/>
    </row>
    <row r="417" spans="2:14" s="43" customFormat="1" ht="15" customHeight="1">
      <c r="B417" s="39" t="s">
        <v>3</v>
      </c>
      <c r="C417" s="38" t="s">
        <v>191</v>
      </c>
      <c r="D417" s="38"/>
      <c r="E417" s="39" t="s">
        <v>4</v>
      </c>
      <c r="F417" s="40" t="s">
        <v>5</v>
      </c>
      <c r="G417" s="40" t="s">
        <v>6</v>
      </c>
      <c r="H417" s="41" t="s">
        <v>7</v>
      </c>
      <c r="I417" s="44"/>
      <c r="J417" s="39"/>
      <c r="K417" s="42"/>
      <c r="L417" s="39"/>
      <c r="N417" s="39"/>
    </row>
    <row r="418" spans="1:9" s="88" customFormat="1" ht="25.5">
      <c r="A418" s="82"/>
      <c r="B418" s="83">
        <v>225</v>
      </c>
      <c r="C418" s="83">
        <v>185804213</v>
      </c>
      <c r="D418" s="84" t="s">
        <v>253</v>
      </c>
      <c r="E418" s="83" t="s">
        <v>0</v>
      </c>
      <c r="F418" s="85">
        <f>+(3*8*3.14*0.5*0.5)</f>
        <v>18.84</v>
      </c>
      <c r="G418" s="85"/>
      <c r="H418" s="86">
        <f>G418*F418</f>
        <v>0</v>
      </c>
      <c r="I418" s="87"/>
    </row>
    <row r="419" spans="1:9" s="88" customFormat="1" ht="12.75">
      <c r="A419" s="82"/>
      <c r="B419" s="83">
        <v>226</v>
      </c>
      <c r="C419" s="83">
        <v>185804312</v>
      </c>
      <c r="D419" s="84" t="s">
        <v>255</v>
      </c>
      <c r="E419" s="83" t="s">
        <v>13</v>
      </c>
      <c r="F419" s="85">
        <f>5*19*0.1</f>
        <v>9.5</v>
      </c>
      <c r="G419" s="85"/>
      <c r="H419" s="86">
        <f>G419*F419</f>
        <v>0</v>
      </c>
      <c r="I419" s="87"/>
    </row>
    <row r="420" spans="1:9" s="88" customFormat="1" ht="12.75">
      <c r="A420" s="82"/>
      <c r="B420" s="83">
        <v>227</v>
      </c>
      <c r="C420" s="83">
        <v>185851121</v>
      </c>
      <c r="D420" s="84" t="s">
        <v>155</v>
      </c>
      <c r="E420" s="83" t="s">
        <v>13</v>
      </c>
      <c r="F420" s="85">
        <f>+F419</f>
        <v>9.5</v>
      </c>
      <c r="G420" s="85"/>
      <c r="H420" s="86">
        <f aca="true" t="shared" si="48" ref="H420:H421">+F420*G420</f>
        <v>0</v>
      </c>
      <c r="I420" s="87"/>
    </row>
    <row r="421" spans="1:9" s="88" customFormat="1" ht="25.5">
      <c r="A421" s="82"/>
      <c r="B421" s="83">
        <v>228</v>
      </c>
      <c r="C421" s="83">
        <v>185851129</v>
      </c>
      <c r="D421" s="84" t="s">
        <v>85</v>
      </c>
      <c r="E421" s="83" t="s">
        <v>13</v>
      </c>
      <c r="F421" s="85">
        <f>+F420</f>
        <v>9.5</v>
      </c>
      <c r="G421" s="85"/>
      <c r="H421" s="86">
        <f t="shared" si="48"/>
        <v>0</v>
      </c>
      <c r="I421" s="87"/>
    </row>
    <row r="422" spans="1:9" s="88" customFormat="1" ht="12.75">
      <c r="A422" s="82"/>
      <c r="B422" s="83">
        <v>229</v>
      </c>
      <c r="C422" s="83">
        <v>184215173</v>
      </c>
      <c r="D422" s="84" t="s">
        <v>201</v>
      </c>
      <c r="E422" s="83" t="s">
        <v>1</v>
      </c>
      <c r="F422" s="85">
        <v>19</v>
      </c>
      <c r="G422" s="85"/>
      <c r="H422" s="86">
        <f aca="true" t="shared" si="49" ref="H422:H424">G422*F422</f>
        <v>0</v>
      </c>
      <c r="I422" s="87"/>
    </row>
    <row r="423" spans="1:8" s="88" customFormat="1" ht="12.75">
      <c r="A423" s="82"/>
      <c r="B423" s="83">
        <v>230</v>
      </c>
      <c r="C423" s="83">
        <v>184852312</v>
      </c>
      <c r="D423" s="84" t="s">
        <v>175</v>
      </c>
      <c r="E423" s="83" t="s">
        <v>1</v>
      </c>
      <c r="F423" s="85">
        <v>19</v>
      </c>
      <c r="G423" s="85"/>
      <c r="H423" s="86">
        <f t="shared" si="49"/>
        <v>0</v>
      </c>
    </row>
    <row r="424" spans="1:8" s="88" customFormat="1" ht="25.5">
      <c r="A424" s="82"/>
      <c r="B424" s="83">
        <v>231</v>
      </c>
      <c r="C424" s="83">
        <v>185802114</v>
      </c>
      <c r="D424" s="84" t="s">
        <v>169</v>
      </c>
      <c r="E424" s="83" t="s">
        <v>8</v>
      </c>
      <c r="F424" s="96">
        <f>+19*100*0.001*0.001</f>
        <v>0.0019000000000000002</v>
      </c>
      <c r="G424" s="85"/>
      <c r="H424" s="86">
        <f t="shared" si="49"/>
        <v>0</v>
      </c>
    </row>
    <row r="425" spans="1:9" s="88" customFormat="1" ht="12.75">
      <c r="A425" s="82"/>
      <c r="B425" s="83">
        <v>232</v>
      </c>
      <c r="C425" s="83" t="s">
        <v>9</v>
      </c>
      <c r="D425" s="84" t="s">
        <v>23</v>
      </c>
      <c r="E425" s="83" t="s">
        <v>10</v>
      </c>
      <c r="F425" s="96">
        <f>+F424*1000</f>
        <v>1.9000000000000001</v>
      </c>
      <c r="G425" s="85"/>
      <c r="H425" s="86">
        <f>G425*F425</f>
        <v>0</v>
      </c>
      <c r="I425" s="87"/>
    </row>
    <row r="426" spans="1:14" s="43" customFormat="1" ht="15" customHeight="1">
      <c r="A426" s="39"/>
      <c r="B426" s="39"/>
      <c r="C426" s="38"/>
      <c r="D426" s="38" t="s">
        <v>192</v>
      </c>
      <c r="E426" s="39"/>
      <c r="F426" s="40"/>
      <c r="G426" s="40"/>
      <c r="H426" s="41">
        <f>SUM(H418:H425)</f>
        <v>0</v>
      </c>
      <c r="I426" s="44"/>
      <c r="J426" s="39"/>
      <c r="K426" s="42"/>
      <c r="L426" s="39"/>
      <c r="N426" s="39"/>
    </row>
    <row r="427" spans="1:9" s="4" customFormat="1" ht="12.75">
      <c r="A427" s="20"/>
      <c r="B427" s="9"/>
      <c r="C427" s="20"/>
      <c r="D427" s="8"/>
      <c r="E427" s="9"/>
      <c r="F427" s="26"/>
      <c r="G427" s="26"/>
      <c r="H427" s="11"/>
      <c r="I427" s="22"/>
    </row>
    <row r="428" spans="2:9" ht="13.5" customHeight="1">
      <c r="B428" s="39">
        <v>31</v>
      </c>
      <c r="D428" s="33"/>
      <c r="E428" s="3"/>
      <c r="F428" s="18"/>
      <c r="G428" s="27"/>
      <c r="H428" s="28"/>
      <c r="I428" s="2"/>
    </row>
    <row r="429" spans="2:14" s="43" customFormat="1" ht="15" customHeight="1">
      <c r="B429" s="39" t="s">
        <v>3</v>
      </c>
      <c r="C429" s="38" t="s">
        <v>193</v>
      </c>
      <c r="D429" s="38"/>
      <c r="E429" s="39" t="s">
        <v>4</v>
      </c>
      <c r="F429" s="40" t="s">
        <v>5</v>
      </c>
      <c r="G429" s="40" t="s">
        <v>6</v>
      </c>
      <c r="H429" s="41" t="s">
        <v>7</v>
      </c>
      <c r="I429" s="44"/>
      <c r="J429" s="39"/>
      <c r="K429" s="42"/>
      <c r="L429" s="39"/>
      <c r="N429" s="39"/>
    </row>
    <row r="430" spans="1:9" s="88" customFormat="1" ht="38.25">
      <c r="A430" s="82"/>
      <c r="B430" s="83">
        <v>233</v>
      </c>
      <c r="C430" s="83">
        <v>185804214</v>
      </c>
      <c r="D430" s="84" t="s">
        <v>158</v>
      </c>
      <c r="E430" s="83" t="s">
        <v>0</v>
      </c>
      <c r="F430" s="85">
        <f>+(178+295+190+7+40)*3</f>
        <v>2130</v>
      </c>
      <c r="G430" s="85"/>
      <c r="H430" s="86">
        <f>G430*F430</f>
        <v>0</v>
      </c>
      <c r="I430" s="87"/>
    </row>
    <row r="431" spans="1:9" s="88" customFormat="1" ht="38.25">
      <c r="A431" s="82"/>
      <c r="B431" s="83">
        <v>234</v>
      </c>
      <c r="C431" s="83">
        <v>185804234</v>
      </c>
      <c r="D431" s="84" t="s">
        <v>159</v>
      </c>
      <c r="E431" s="83" t="s">
        <v>0</v>
      </c>
      <c r="F431" s="85">
        <f>+(67+39+30)*3</f>
        <v>408</v>
      </c>
      <c r="G431" s="85"/>
      <c r="H431" s="86">
        <f>G431*F431</f>
        <v>0</v>
      </c>
      <c r="I431" s="87"/>
    </row>
    <row r="432" spans="1:9" s="88" customFormat="1" ht="25.5">
      <c r="A432" s="82"/>
      <c r="B432" s="83">
        <v>235</v>
      </c>
      <c r="C432" s="83">
        <v>185804312</v>
      </c>
      <c r="D432" s="84" t="s">
        <v>204</v>
      </c>
      <c r="E432" s="83" t="s">
        <v>13</v>
      </c>
      <c r="F432" s="85">
        <f>+(178+295+190+7+40+67+39+30)*5*0.02</f>
        <v>84.60000000000001</v>
      </c>
      <c r="G432" s="85"/>
      <c r="H432" s="86">
        <f>G432*F432</f>
        <v>0</v>
      </c>
      <c r="I432" s="87"/>
    </row>
    <row r="433" spans="1:9" s="88" customFormat="1" ht="12.75">
      <c r="A433" s="82"/>
      <c r="B433" s="83">
        <v>236</v>
      </c>
      <c r="C433" s="83">
        <v>185851121</v>
      </c>
      <c r="D433" s="84" t="s">
        <v>155</v>
      </c>
      <c r="E433" s="83" t="s">
        <v>13</v>
      </c>
      <c r="F433" s="85">
        <f>+F432</f>
        <v>84.60000000000001</v>
      </c>
      <c r="G433" s="85"/>
      <c r="H433" s="86">
        <f aca="true" t="shared" si="50" ref="H433:H434">+F433*G433</f>
        <v>0</v>
      </c>
      <c r="I433" s="87"/>
    </row>
    <row r="434" spans="1:9" s="88" customFormat="1" ht="25.5">
      <c r="A434" s="82"/>
      <c r="B434" s="83">
        <v>237</v>
      </c>
      <c r="C434" s="83">
        <v>185851129</v>
      </c>
      <c r="D434" s="84" t="s">
        <v>85</v>
      </c>
      <c r="E434" s="83" t="s">
        <v>13</v>
      </c>
      <c r="F434" s="85">
        <f>+F433</f>
        <v>84.60000000000001</v>
      </c>
      <c r="G434" s="85"/>
      <c r="H434" s="86">
        <f t="shared" si="50"/>
        <v>0</v>
      </c>
      <c r="I434" s="87"/>
    </row>
    <row r="435" spans="1:9" s="88" customFormat="1" ht="25.5">
      <c r="A435" s="82"/>
      <c r="B435" s="83">
        <v>238</v>
      </c>
      <c r="C435" s="83">
        <v>184803111</v>
      </c>
      <c r="D435" s="84" t="s">
        <v>236</v>
      </c>
      <c r="E435" s="83" t="s">
        <v>0</v>
      </c>
      <c r="F435" s="85">
        <v>116</v>
      </c>
      <c r="G435" s="85"/>
      <c r="H435" s="86">
        <f aca="true" t="shared" si="51" ref="H435:H436">+F435*G435</f>
        <v>0</v>
      </c>
      <c r="I435" s="87"/>
    </row>
    <row r="436" spans="1:9" s="88" customFormat="1" ht="12.75">
      <c r="A436" s="82"/>
      <c r="B436" s="83">
        <v>239</v>
      </c>
      <c r="C436" s="83">
        <v>184806186</v>
      </c>
      <c r="D436" s="84" t="s">
        <v>237</v>
      </c>
      <c r="E436" s="83" t="s">
        <v>1</v>
      </c>
      <c r="F436" s="85">
        <v>1860</v>
      </c>
      <c r="G436" s="85"/>
      <c r="H436" s="86">
        <f t="shared" si="51"/>
        <v>0</v>
      </c>
      <c r="I436" s="87"/>
    </row>
    <row r="437" spans="1:9" s="88" customFormat="1" ht="38.25">
      <c r="A437" s="82"/>
      <c r="B437" s="83">
        <v>240</v>
      </c>
      <c r="C437" s="83">
        <v>185802114</v>
      </c>
      <c r="D437" s="84" t="s">
        <v>170</v>
      </c>
      <c r="E437" s="83" t="s">
        <v>8</v>
      </c>
      <c r="F437" s="85">
        <f>+(178+295+190+7+40+67+39+30)*20*0.001*0.001</f>
        <v>0.01692</v>
      </c>
      <c r="G437" s="85"/>
      <c r="H437" s="86">
        <f aca="true" t="shared" si="52" ref="H437:H438">G437*F437</f>
        <v>0</v>
      </c>
      <c r="I437" s="87"/>
    </row>
    <row r="438" spans="1:9" s="88" customFormat="1" ht="12.75">
      <c r="A438" s="82"/>
      <c r="B438" s="83">
        <v>241</v>
      </c>
      <c r="C438" s="83" t="s">
        <v>9</v>
      </c>
      <c r="D438" s="84" t="s">
        <v>23</v>
      </c>
      <c r="E438" s="83" t="s">
        <v>10</v>
      </c>
      <c r="F438" s="85">
        <f>+F437*1000</f>
        <v>16.92</v>
      </c>
      <c r="G438" s="85"/>
      <c r="H438" s="86">
        <f t="shared" si="52"/>
        <v>0</v>
      </c>
      <c r="I438" s="87"/>
    </row>
    <row r="439" spans="1:14" s="43" customFormat="1" ht="15" customHeight="1">
      <c r="A439" s="39"/>
      <c r="B439" s="39"/>
      <c r="C439" s="38"/>
      <c r="D439" s="38" t="s">
        <v>194</v>
      </c>
      <c r="E439" s="39"/>
      <c r="F439" s="40"/>
      <c r="G439" s="40"/>
      <c r="H439" s="41">
        <f>SUM(H430:H438)</f>
        <v>0</v>
      </c>
      <c r="I439" s="44"/>
      <c r="J439" s="39"/>
      <c r="K439" s="42"/>
      <c r="L439" s="39"/>
      <c r="N439" s="39"/>
    </row>
    <row r="441" spans="1:8" s="4" customFormat="1" ht="12.75">
      <c r="A441" s="20"/>
      <c r="B441" s="39">
        <v>32</v>
      </c>
      <c r="C441" s="34"/>
      <c r="D441" s="8"/>
      <c r="E441" s="1"/>
      <c r="F441" s="6"/>
      <c r="G441" s="6"/>
      <c r="H441" s="17"/>
    </row>
    <row r="442" spans="2:14" s="43" customFormat="1" ht="15" customHeight="1">
      <c r="B442" s="39" t="s">
        <v>3</v>
      </c>
      <c r="C442" s="38" t="s">
        <v>195</v>
      </c>
      <c r="D442" s="38"/>
      <c r="E442" s="39" t="s">
        <v>4</v>
      </c>
      <c r="F442" s="40" t="s">
        <v>5</v>
      </c>
      <c r="G442" s="40" t="s">
        <v>6</v>
      </c>
      <c r="H442" s="41" t="s">
        <v>7</v>
      </c>
      <c r="I442" s="44"/>
      <c r="J442" s="39"/>
      <c r="K442" s="42"/>
      <c r="L442" s="39"/>
      <c r="N442" s="39"/>
    </row>
    <row r="443" spans="1:9" s="88" customFormat="1" ht="25.5">
      <c r="A443" s="82"/>
      <c r="B443" s="83">
        <v>242</v>
      </c>
      <c r="C443" s="83">
        <v>185804251</v>
      </c>
      <c r="D443" s="84" t="s">
        <v>168</v>
      </c>
      <c r="E443" s="83" t="s">
        <v>0</v>
      </c>
      <c r="F443" s="85">
        <v>150</v>
      </c>
      <c r="G443" s="85"/>
      <c r="H443" s="86">
        <f>G443*F443</f>
        <v>0</v>
      </c>
      <c r="I443" s="87"/>
    </row>
    <row r="444" spans="1:14" s="43" customFormat="1" ht="15" customHeight="1">
      <c r="A444" s="39"/>
      <c r="B444" s="39"/>
      <c r="C444" s="38"/>
      <c r="D444" s="38" t="s">
        <v>196</v>
      </c>
      <c r="E444" s="39"/>
      <c r="F444" s="40"/>
      <c r="G444" s="40"/>
      <c r="H444" s="41">
        <f>SUM(H443)</f>
        <v>0</v>
      </c>
      <c r="I444" s="44"/>
      <c r="J444" s="39"/>
      <c r="K444" s="42"/>
      <c r="L444" s="39"/>
      <c r="N444" s="39"/>
    </row>
    <row r="446" spans="1:8" s="4" customFormat="1" ht="12.75">
      <c r="A446" s="20"/>
      <c r="B446" s="39">
        <v>33</v>
      </c>
      <c r="C446" s="34"/>
      <c r="D446" s="8"/>
      <c r="E446" s="1"/>
      <c r="F446" s="6"/>
      <c r="G446" s="6"/>
      <c r="H446" s="17"/>
    </row>
    <row r="447" spans="2:14" s="43" customFormat="1" ht="15" customHeight="1">
      <c r="B447" s="39" t="s">
        <v>3</v>
      </c>
      <c r="C447" s="38" t="s">
        <v>197</v>
      </c>
      <c r="D447" s="38"/>
      <c r="E447" s="39" t="s">
        <v>4</v>
      </c>
      <c r="F447" s="40" t="s">
        <v>5</v>
      </c>
      <c r="G447" s="40" t="s">
        <v>6</v>
      </c>
      <c r="H447" s="41" t="s">
        <v>7</v>
      </c>
      <c r="I447" s="44"/>
      <c r="J447" s="39"/>
      <c r="K447" s="42"/>
      <c r="L447" s="39"/>
      <c r="N447" s="39"/>
    </row>
    <row r="448" spans="1:9" s="88" customFormat="1" ht="25.5">
      <c r="A448" s="82"/>
      <c r="B448" s="83">
        <v>243</v>
      </c>
      <c r="C448" s="83">
        <v>111151131</v>
      </c>
      <c r="D448" s="84" t="s">
        <v>165</v>
      </c>
      <c r="E448" s="83" t="s">
        <v>0</v>
      </c>
      <c r="F448" s="85">
        <v>430</v>
      </c>
      <c r="G448" s="85"/>
      <c r="H448" s="86">
        <f>G448*F448</f>
        <v>0</v>
      </c>
      <c r="I448" s="87"/>
    </row>
    <row r="449" spans="1:14" s="43" customFormat="1" ht="15" customHeight="1">
      <c r="A449" s="39"/>
      <c r="B449" s="39"/>
      <c r="C449" s="38"/>
      <c r="D449" s="38" t="s">
        <v>198</v>
      </c>
      <c r="E449" s="39"/>
      <c r="F449" s="40"/>
      <c r="G449" s="40"/>
      <c r="H449" s="41">
        <f>SUM(H448:H448)</f>
        <v>0</v>
      </c>
      <c r="I449" s="44"/>
      <c r="J449" s="39"/>
      <c r="K449" s="42"/>
      <c r="L449" s="39"/>
      <c r="N449" s="39"/>
    </row>
    <row r="450" spans="1:9" s="4" customFormat="1" ht="12.75">
      <c r="A450" s="20"/>
      <c r="B450" s="9"/>
      <c r="C450" s="20"/>
      <c r="D450" s="8"/>
      <c r="E450" s="9"/>
      <c r="F450" s="26"/>
      <c r="G450" s="26"/>
      <c r="H450" s="11"/>
      <c r="I450" s="22"/>
    </row>
    <row r="451" spans="1:8" s="4" customFormat="1" ht="12.75">
      <c r="A451" s="20"/>
      <c r="B451" s="39">
        <v>34</v>
      </c>
      <c r="C451" s="34"/>
      <c r="D451" s="8"/>
      <c r="E451" s="1"/>
      <c r="F451" s="6"/>
      <c r="G451" s="6"/>
      <c r="H451" s="17"/>
    </row>
    <row r="452" spans="2:14" s="43" customFormat="1" ht="15" customHeight="1">
      <c r="B452" s="39" t="s">
        <v>3</v>
      </c>
      <c r="C452" s="38" t="s">
        <v>199</v>
      </c>
      <c r="D452" s="38"/>
      <c r="E452" s="39" t="s">
        <v>4</v>
      </c>
      <c r="F452" s="40" t="s">
        <v>5</v>
      </c>
      <c r="G452" s="40" t="s">
        <v>6</v>
      </c>
      <c r="H452" s="41" t="s">
        <v>7</v>
      </c>
      <c r="I452" s="44"/>
      <c r="J452" s="39"/>
      <c r="K452" s="42"/>
      <c r="L452" s="39"/>
      <c r="N452" s="39"/>
    </row>
    <row r="453" spans="1:9" s="88" customFormat="1" ht="25.5">
      <c r="A453" s="82"/>
      <c r="B453" s="83">
        <v>244</v>
      </c>
      <c r="C453" s="83">
        <v>111151121</v>
      </c>
      <c r="D453" s="84" t="s">
        <v>118</v>
      </c>
      <c r="E453" s="83" t="s">
        <v>0</v>
      </c>
      <c r="F453" s="85">
        <f>54*6</f>
        <v>324</v>
      </c>
      <c r="G453" s="85"/>
      <c r="H453" s="86">
        <f>G453*F453</f>
        <v>0</v>
      </c>
      <c r="I453" s="87"/>
    </row>
    <row r="454" spans="1:14" s="43" customFormat="1" ht="15" customHeight="1">
      <c r="A454" s="39"/>
      <c r="B454" s="39"/>
      <c r="C454" s="38"/>
      <c r="D454" s="38" t="s">
        <v>200</v>
      </c>
      <c r="E454" s="39"/>
      <c r="F454" s="40"/>
      <c r="G454" s="40"/>
      <c r="H454" s="41">
        <f>SUM(H453:H453)</f>
        <v>0</v>
      </c>
      <c r="I454" s="44"/>
      <c r="J454" s="39"/>
      <c r="K454" s="42"/>
      <c r="L454" s="39"/>
      <c r="N454" s="39"/>
    </row>
    <row r="455" spans="7:9" ht="12.75">
      <c r="G455" s="6"/>
      <c r="I455" s="2"/>
    </row>
  </sheetData>
  <mergeCells count="10">
    <mergeCell ref="B1:H1"/>
    <mergeCell ref="B2:H2"/>
    <mergeCell ref="G57:H57"/>
    <mergeCell ref="G13:H13"/>
    <mergeCell ref="F25:G25"/>
    <mergeCell ref="F31:G31"/>
    <mergeCell ref="F37:G37"/>
    <mergeCell ref="F43:G43"/>
    <mergeCell ref="F49:G49"/>
    <mergeCell ref="F55:G55"/>
  </mergeCells>
  <printOptions/>
  <pageMargins left="0.5118110236220472" right="0.31496062992125984" top="0.7874015748031497" bottom="0.6692913385826772" header="0.31496062992125984" footer="0.31496062992125984"/>
  <pageSetup fitToHeight="0" fitToWidth="1" horizontalDpi="600" verticalDpi="600" orientation="portrait" paperSize="9" scale="85" r:id="rId1"/>
  <headerFooter>
    <oddFooter>&amp;C&amp;P/&amp;N</oddFooter>
  </headerFooter>
  <rowBreaks count="4" manualBreakCount="4">
    <brk id="63" max="16383" man="1"/>
    <brk id="227" max="16383" man="1"/>
    <brk id="319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dell</cp:lastModifiedBy>
  <cp:lastPrinted>2019-07-05T10:01:27Z</cp:lastPrinted>
  <dcterms:created xsi:type="dcterms:W3CDTF">2015-12-13T23:58:35Z</dcterms:created>
  <dcterms:modified xsi:type="dcterms:W3CDTF">2019-07-05T10:04:15Z</dcterms:modified>
  <cp:category/>
  <cp:version/>
  <cp:contentType/>
  <cp:contentStatus/>
</cp:coreProperties>
</file>