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<sst xmlns="http://schemas.openxmlformats.org/spreadsheetml/2006/main" count="939" uniqueCount="361">
  <si>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</si>
  <si>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</si>
  <si>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</si>
  <si>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</si>
  <si>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</si>
  <si>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</si>
  <si>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</si>
  <si>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</si>
  <si>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</si>
  <si>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</si>
  <si>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</si>
  <si>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</si>
  <si>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</si>
  <si>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</si>
  <si>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</si>
  <si>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</si>
  <si>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</si>
  <si>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</si>
  <si>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</si>
  <si>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</si>
  <si>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</si>
  <si>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</si>
  <si>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</si>
  <si>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</si>
  <si>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</si>
  <si>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</si>
  <si>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</si>
  <si>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</si>
  <si>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</si>
  <si>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</si>
  <si>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</si>
  <si>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</si>
  <si>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</si>
  <si>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</si>
  <si>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</si>
  <si>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</si>
  <si>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</si>
  <si>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</si>
  <si>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</si>
  <si>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</si>
  <si>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</si>
  <si>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</si>
  <si>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</si>
  <si>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</si>
  <si>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</si>
  <si>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</si>
  <si>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</si>
  <si>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</si>
  <si>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</si>
  <si>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</si>
  <si>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</si>
  <si>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</si>
  <si>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</si>
  <si>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</si>
  <si>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</si>
  <si>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</si>
  <si>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</si>
  <si>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</si>
  <si>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</si>
  <si>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</si>
  <si>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</si>
  <si>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</si>
  <si>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</si>
  <si>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</si>
  <si>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</si>
  <si>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</si>
  <si>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</si>
  <si>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</si>
  <si>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</si>
  <si>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Poznámka:</t>
  </si>
  <si>
    <t>Objekt</t>
  </si>
  <si>
    <t>01</t>
  </si>
  <si>
    <t>02</t>
  </si>
  <si>
    <t>03</t>
  </si>
  <si>
    <t>Nové teplovodní potrubí v objektu ZŠ Koperníkova 696</t>
  </si>
  <si>
    <t>ZŠ Koperníkova 696, Třinec</t>
  </si>
  <si>
    <t>Kód</t>
  </si>
  <si>
    <t>721</t>
  </si>
  <si>
    <t>721176234R00</t>
  </si>
  <si>
    <t>721176104R00</t>
  </si>
  <si>
    <t>722</t>
  </si>
  <si>
    <t>722182004R00</t>
  </si>
  <si>
    <t>722182094R00</t>
  </si>
  <si>
    <t>722182200R00</t>
  </si>
  <si>
    <t>733</t>
  </si>
  <si>
    <t>733111126R00</t>
  </si>
  <si>
    <t>733111127R00</t>
  </si>
  <si>
    <t>733184104RT2</t>
  </si>
  <si>
    <t>733185104RT2</t>
  </si>
  <si>
    <t>733190107R00</t>
  </si>
  <si>
    <t>733113117R00</t>
  </si>
  <si>
    <t>733VD</t>
  </si>
  <si>
    <t>733260VD</t>
  </si>
  <si>
    <t>734</t>
  </si>
  <si>
    <t>734235225R00</t>
  </si>
  <si>
    <t>734419134R00</t>
  </si>
  <si>
    <t>734295321R00</t>
  </si>
  <si>
    <t>734215133R00</t>
  </si>
  <si>
    <t>734494213R00</t>
  </si>
  <si>
    <t>734494216R00</t>
  </si>
  <si>
    <t>734494217R00</t>
  </si>
  <si>
    <t>767</t>
  </si>
  <si>
    <t>767883213RU9</t>
  </si>
  <si>
    <t>767883213RT2</t>
  </si>
  <si>
    <t>783</t>
  </si>
  <si>
    <t>783424340R00</t>
  </si>
  <si>
    <t>90</t>
  </si>
  <si>
    <t>900      R03</t>
  </si>
  <si>
    <t>H733</t>
  </si>
  <si>
    <t>998733201R00</t>
  </si>
  <si>
    <t>M22</t>
  </si>
  <si>
    <t>220060663R00</t>
  </si>
  <si>
    <t>220260541R00</t>
  </si>
  <si>
    <t>220281651R00</t>
  </si>
  <si>
    <t>733402VD</t>
  </si>
  <si>
    <t>734380VD</t>
  </si>
  <si>
    <t>734381VD</t>
  </si>
  <si>
    <t>733900VD</t>
  </si>
  <si>
    <t>733901VD</t>
  </si>
  <si>
    <t>713601VD</t>
  </si>
  <si>
    <t>713603VD</t>
  </si>
  <si>
    <t>713486VD</t>
  </si>
  <si>
    <t>31171801.A</t>
  </si>
  <si>
    <t>733500VD</t>
  </si>
  <si>
    <t>210120VD</t>
  </si>
  <si>
    <t>713</t>
  </si>
  <si>
    <t>713491112R00</t>
  </si>
  <si>
    <t>764</t>
  </si>
  <si>
    <t>764421480RT2</t>
  </si>
  <si>
    <t>764421460RT2</t>
  </si>
  <si>
    <t>900VD</t>
  </si>
  <si>
    <t>900606VD</t>
  </si>
  <si>
    <t>900607VD</t>
  </si>
  <si>
    <t>94</t>
  </si>
  <si>
    <t>941955002R00</t>
  </si>
  <si>
    <t>97</t>
  </si>
  <si>
    <t>970041080R00</t>
  </si>
  <si>
    <t>970043080R00</t>
  </si>
  <si>
    <t>970044080R00</t>
  </si>
  <si>
    <t>971033123R00</t>
  </si>
  <si>
    <t>970041160R00</t>
  </si>
  <si>
    <t>970043160R00</t>
  </si>
  <si>
    <t>970044160R00</t>
  </si>
  <si>
    <t>971052521R00</t>
  </si>
  <si>
    <t>H99</t>
  </si>
  <si>
    <t>991000VD</t>
  </si>
  <si>
    <t>S</t>
  </si>
  <si>
    <t>979095312R00</t>
  </si>
  <si>
    <t>979091111R00</t>
  </si>
  <si>
    <t>979091121R00</t>
  </si>
  <si>
    <t>979990107R00</t>
  </si>
  <si>
    <t>911</t>
  </si>
  <si>
    <t>911600VD</t>
  </si>
  <si>
    <t>911602VD</t>
  </si>
  <si>
    <t>911603VD</t>
  </si>
  <si>
    <t>Zkrácený popis</t>
  </si>
  <si>
    <t>Rozměry</t>
  </si>
  <si>
    <t>Nové teplovodní potrubí v objektu ZŠ</t>
  </si>
  <si>
    <t>Vnitřní kanalizace</t>
  </si>
  <si>
    <t>Potrubí KG (ležaté) zavěšené D 160 x 4,0 mm - ochranná trubka pro prostup předizolovaného potrubí do objektu</t>
  </si>
  <si>
    <t>Potrubí HT připojovací D 75 x 1,9 mm - ochranná trubka pro prostup potrubí stěnou</t>
  </si>
  <si>
    <t>Vnitřní vodovod</t>
  </si>
  <si>
    <t>Montáž izol.skruží na potrubí přímé DN 40,sam.spoj</t>
  </si>
  <si>
    <t>Příplatek za montáž izolačních tvarovek DN 40</t>
  </si>
  <si>
    <t>Výroba izolační tvarovky do DN 40</t>
  </si>
  <si>
    <t>Rozvod potrubí</t>
  </si>
  <si>
    <t>Potrubí závit. bezešvé běžné níz./středotl.,DN 32</t>
  </si>
  <si>
    <t>Potrubí závit. bezešvé běžné níz./středotl.,DN 40</t>
  </si>
  <si>
    <t>Montáž předizolovaného potrubí DN 40 mm</t>
  </si>
  <si>
    <t>Spojka předizolovaného potrubí DN 40 mm - dle specifikace</t>
  </si>
  <si>
    <t>Tlaková zkouška potrubí  DN 40</t>
  </si>
  <si>
    <t>Příplatek za zhotovení přípojky DN 40</t>
  </si>
  <si>
    <t>Potrubní rozvody</t>
  </si>
  <si>
    <t>Provedení výtažné zkoušky "in sit" pro ověření únosnosti kotev předizolovaného potrubí</t>
  </si>
  <si>
    <t>Armatury</t>
  </si>
  <si>
    <t>Kohout kulový, 2xvnitřní záv. DN 40</t>
  </si>
  <si>
    <t>Montáž kompaktního měřiče tepla závitového 5/4"</t>
  </si>
  <si>
    <t>Kohout kul.vypouštěcí,komplet,DN 15</t>
  </si>
  <si>
    <t>Ventil odvzdušňovací automat. DN 15</t>
  </si>
  <si>
    <t>Návarky s trubkovým závitem G 1/2-vypouštění, odvzdušnění</t>
  </si>
  <si>
    <t>Návarky s trubkovým závitem G 5/4-měřič tepla</t>
  </si>
  <si>
    <t>Návarky s trubkovým závitem G 6/4-kul kohout</t>
  </si>
  <si>
    <t>Konstrukce doplňkové stavební (zámečnické)</t>
  </si>
  <si>
    <t>Objímka dvoušroubová, kombivrut, pro potrubí 123 - 128 mm</t>
  </si>
  <si>
    <t>Objímka dvoušroubová, kombivrut, pro potrubí 48-54 mm</t>
  </si>
  <si>
    <t>Nátěry</t>
  </si>
  <si>
    <t>Nátěr syntet. potrubí do DN 50 mm</t>
  </si>
  <si>
    <t>Hodinové zúčtovací sazby (HZS)</t>
  </si>
  <si>
    <t>HZS - příprava a zaměření trasy potrubí</t>
  </si>
  <si>
    <t>HZS - vapouštění vody z otopné soustavy pro zhotovení odbočky</t>
  </si>
  <si>
    <t>HZS - napouštění vody do otopné soustavy, odvzdušnění</t>
  </si>
  <si>
    <t>Přesun hmot pro rozvody potrubí, výšky do 6 m</t>
  </si>
  <si>
    <t>Montáže sdělovací a zabezpečovací techniky</t>
  </si>
  <si>
    <t>Uložení sdělovacího kabelu do lišt a trubky, ručně</t>
  </si>
  <si>
    <t>Trubka elektroinstalační tuhá z PVC, 16 mm - pro komunikační kabel ve venkovním prostředí - D + M</t>
  </si>
  <si>
    <t>Montáž elektroinstalační plastové lišty pro komunikační kabel ve vnitřních prostorách - D + M</t>
  </si>
  <si>
    <t>Ostatní materiál</t>
  </si>
  <si>
    <t>Předizolovaná trubka s detekci DN 40/125, dl. 6 m - dle specifikace</t>
  </si>
  <si>
    <t>Ultrazvukový měřič tepla Qn 3,5 m3/h, G 5/4" - komplet podle specifikace</t>
  </si>
  <si>
    <t>Sada teplotních čidel Pt500, 27,5 mm, M10x1, kabel 2,5 m včetně varných nátrubků - podle specifikace</t>
  </si>
  <si>
    <t>Ostatní nespec.potrubní tvarovky a fitinky-ocel.potrubí</t>
  </si>
  <si>
    <t>Ostatní montážní a kotvící materiál  potrubí</t>
  </si>
  <si>
    <t>Izolace potr. z miner.vlny s Al. kašírováním 49/30</t>
  </si>
  <si>
    <t>Izolace potr. z miner.vlny s Al. kašírováním 49/40</t>
  </si>
  <si>
    <t>Pásky,sponky a ost.materiál tepelné izolace potrubí</t>
  </si>
  <si>
    <t>Hybridní lepicí hmota pro kotvení a dodatečné vlepování výztuže pro beton (obsah nádoby 0,33l / obsah kazety 0,5l) - dle specifikace</t>
  </si>
  <si>
    <t>Kotevní šroub M8x150 z uhlíkové oceli ozn. 5.8, užitná délka 135mm, délka šroubu 150mm - pro chemické kotvení předizolovaného potrubí</t>
  </si>
  <si>
    <t>Komunikační kabel - propoj mezi objektem PZKO a výměníkovou stanici - dle specifikace</t>
  </si>
  <si>
    <t>Drobné stavební úpravy</t>
  </si>
  <si>
    <t>Izolace tepelné</t>
  </si>
  <si>
    <t>Oplechování tepelné izolace Pz plechem ohybů ve venkovním prostoru před napojením na předizolované potrubí</t>
  </si>
  <si>
    <t>Konstrukce klempířské</t>
  </si>
  <si>
    <t>Oplechování z Al tl. 0,63 mm, rš 600 mm - stávající vstup potrubí ÚT do objektu PZKO (na střeše)</t>
  </si>
  <si>
    <t>Oplechování z Al tl. 0,63 mm, š 400 mm - utěsnění prostupu předizolovaného potrubí stěnou do objektu PZKO</t>
  </si>
  <si>
    <t>Drobné stavební práce</t>
  </si>
  <si>
    <t>Výměna skl.sklopného zasklení okna za polykarbonátové, rozměr 1,0 x 0,4 m, polykarbonát plný, plochý, čirý, tl 5 mm - prostup do spoj. chodby</t>
  </si>
  <si>
    <t>Výměna skl.sklopného zasklení okna za polykarbonátové, rozměr 1,4 x 0,5 m, polykarbonát plný, plochý, čirý, tl 5 mm - prostup do venkovního prostředí</t>
  </si>
  <si>
    <t>Lešení a stavební výtahy</t>
  </si>
  <si>
    <t>Lešení lehké pomocné, výška podlahy do 1,9 m</t>
  </si>
  <si>
    <t>Prorážení otvorů a ostatní bourací práce</t>
  </si>
  <si>
    <t>Vrtání jádrové do prostého betonu do D 80 mm</t>
  </si>
  <si>
    <t>Příp. za jádr. vrt. ve výšce nad 1,5 m B do D 80mm</t>
  </si>
  <si>
    <t>Příp. za jádr. vrt. vodor. ve stěně B do D 80 mm</t>
  </si>
  <si>
    <t>Vrtání otvorů, zeď cihelná, do 3 cm, hl. do 45 cm - prostupy stěnou pro komunikační kabel</t>
  </si>
  <si>
    <t>Vrtání jádrové do prostého betonu do D 160 mm</t>
  </si>
  <si>
    <t>Příp. za jádr. vrt. ve výšce nad 1,5m B do D 160mm</t>
  </si>
  <si>
    <t>Příp. za jádr. vrt. vodor. ve stěně B do D 160 mm</t>
  </si>
  <si>
    <t>Vybourání otvorů v keramickém obkladu zdi  pl. 1 m2 - prostup stěnou do objektu PZKO</t>
  </si>
  <si>
    <t>Ostatní přesuny hmot</t>
  </si>
  <si>
    <t>Přesun hmot-stavební práce</t>
  </si>
  <si>
    <t>Přesuny sutí</t>
  </si>
  <si>
    <t>Naložení a složení suti</t>
  </si>
  <si>
    <t>Vodorovné přemístění vybouraných hmot do 7 km</t>
  </si>
  <si>
    <t>Vodorovné přemíst. vybouraných hmot za další 1 km-10 km</t>
  </si>
  <si>
    <t>Poplatek za skládku suti - směs betonu,cihel,dřeva</t>
  </si>
  <si>
    <t>Ostatní související práce a činnosti</t>
  </si>
  <si>
    <t>Ostatní související práce</t>
  </si>
  <si>
    <t>Zkoušky,seřízení, nastavení, uvedení do provozu</t>
  </si>
  <si>
    <t>PD skutečného provedení stavby - 3 paré</t>
  </si>
  <si>
    <t>Ostatní souv.práce-koordinace,IČ, provozní vlivy, KD, dokumentace pro předání</t>
  </si>
  <si>
    <t>Doba výstavby:</t>
  </si>
  <si>
    <t>Začátek výstavby:</t>
  </si>
  <si>
    <t>Konec výstavby:</t>
  </si>
  <si>
    <t>Zpracováno dne:</t>
  </si>
  <si>
    <t>MJ</t>
  </si>
  <si>
    <t>m</t>
  </si>
  <si>
    <t>kus</t>
  </si>
  <si>
    <t>kpl</t>
  </si>
  <si>
    <t>soubor</t>
  </si>
  <si>
    <t>ks</t>
  </si>
  <si>
    <t>h</t>
  </si>
  <si>
    <t>%</t>
  </si>
  <si>
    <t>m2</t>
  </si>
  <si>
    <t>t</t>
  </si>
  <si>
    <t>Množství</t>
  </si>
  <si>
    <t>06.05.2019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</si>
  <si>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</si>
  <si>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</si>
  <si>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</si>
  <si>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</si>
  <si>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</si>
  <si>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</si>
  <si>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</si>
  <si>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</si>
  <si>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</si>
  <si>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</si>
  <si>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</si>
  <si>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</si>
  <si>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</si>
  <si>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</si>
  <si>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</si>
  <si>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</si>
  <si>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</si>
  <si>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</si>
  <si>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</si>
  <si>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</si>
  <si>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</si>
  <si>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</si>
  <si>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</si>
  <si>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</si>
  <si>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</si>
  <si>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</si>
  <si>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</si>
  <si>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721_</t>
  </si>
  <si>
    <t>722_</t>
  </si>
  <si>
    <t>733_</t>
  </si>
  <si>
    <t>733VD_</t>
  </si>
  <si>
    <t>734_</t>
  </si>
  <si>
    <t>767_</t>
  </si>
  <si>
    <t>783_</t>
  </si>
  <si>
    <t>90_</t>
  </si>
  <si>
    <t>H733_</t>
  </si>
  <si>
    <t>M22_</t>
  </si>
  <si>
    <t>Z99999_</t>
  </si>
  <si>
    <t>713_</t>
  </si>
  <si>
    <t>764_</t>
  </si>
  <si>
    <t>900VD_</t>
  </si>
  <si>
    <t>94_</t>
  </si>
  <si>
    <t>97_</t>
  </si>
  <si>
    <t>H99_</t>
  </si>
  <si>
    <t>S_</t>
  </si>
  <si>
    <t>911_</t>
  </si>
  <si>
    <t>01_72_</t>
  </si>
  <si>
    <t>01_73_</t>
  </si>
  <si>
    <t>01_76_</t>
  </si>
  <si>
    <t>01_78_</t>
  </si>
  <si>
    <t>01_9_</t>
  </si>
  <si>
    <t>01_Z_</t>
  </si>
  <si>
    <t>02_71_</t>
  </si>
  <si>
    <t>02_76_</t>
  </si>
  <si>
    <t>02_9_</t>
  </si>
  <si>
    <t>03_9_</t>
  </si>
  <si>
    <t>01_</t>
  </si>
  <si>
    <t>02_</t>
  </si>
  <si>
    <t>03_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</si>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</sst>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5" borderId="26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4" fillId="0" borderId="26" xfId="0" applyNumberFormat="1" applyFont="1" applyFill="1" applyBorder="1" applyAlignment="1" applyProtection="1">
      <alignment horizontal="right" vertical="center"/>
      <protection/>
    </xf>
    <xf numFmtId="49" fontId="14" fillId="0" borderId="26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3" fillId="35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49" fontId="15" fillId="0" borderId="44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35" borderId="44" xfId="0" applyNumberFormat="1" applyFont="1" applyFill="1" applyBorder="1" applyAlignment="1" applyProtection="1">
      <alignment horizontal="left" vertical="center"/>
      <protection/>
    </xf>
    <xf numFmtId="0" fontId="13" fillId="35" borderId="43" xfId="0" applyNumberFormat="1" applyFont="1" applyFill="1" applyBorder="1" applyAlignment="1" applyProtection="1">
      <alignment horizontal="left" vertical="center"/>
      <protection/>
    </xf>
    <xf numFmtId="49" fontId="14" fillId="0" borderId="45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7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98" sqref="A98:M98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7.00390625" style="0" customWidth="1"/>
    <col min="5" max="5" width="8.00390625" style="0" customWidth="1"/>
    <col min="6" max="6" width="12.710937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4.00390625" style="0" customWidth="1"/>
    <col min="14" max="24" width="11.57421875" style="0" customWidth="1"/>
    <col min="25" max="62" width="9.7109375" style="0" hidden="1" customWidth="1"/>
  </cols>
  <sheetData>
    <row r="1" spans="1:13" ht="72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6" t="s">
        <v>74</v>
      </c>
      <c r="D2" s="67"/>
      <c r="E2" s="69" t="s">
        <v>240</v>
      </c>
      <c r="F2" s="63"/>
      <c r="G2" s="69" t="s">
        <v>6</v>
      </c>
      <c r="H2" s="70" t="s">
        <v>258</v>
      </c>
      <c r="I2" s="69" t="s">
        <v>265</v>
      </c>
      <c r="J2" s="63"/>
      <c r="K2" s="63"/>
      <c r="L2" s="63"/>
      <c r="M2" s="71"/>
      <c r="N2" s="35"/>
    </row>
    <row r="3" spans="1:14" ht="12.75">
      <c r="A3" s="64"/>
      <c r="B3" s="65"/>
      <c r="C3" s="68"/>
      <c r="D3" s="68"/>
      <c r="E3" s="65"/>
      <c r="F3" s="65"/>
      <c r="G3" s="65"/>
      <c r="H3" s="65"/>
      <c r="I3" s="65"/>
      <c r="J3" s="65"/>
      <c r="K3" s="65"/>
      <c r="L3" s="65"/>
      <c r="M3" s="72"/>
      <c r="N3" s="35"/>
    </row>
    <row r="4" spans="1:14" ht="12.75">
      <c r="A4" s="73" t="s">
        <v>2</v>
      </c>
      <c r="B4" s="65"/>
      <c r="C4" s="74" t="s">
        <v>6</v>
      </c>
      <c r="D4" s="65"/>
      <c r="E4" s="75" t="s">
        <v>241</v>
      </c>
      <c r="F4" s="65"/>
      <c r="G4" s="75" t="s">
        <v>6</v>
      </c>
      <c r="H4" s="74" t="s">
        <v>259</v>
      </c>
      <c r="I4" s="75" t="s">
        <v>265</v>
      </c>
      <c r="J4" s="65"/>
      <c r="K4" s="65"/>
      <c r="L4" s="65"/>
      <c r="M4" s="72"/>
      <c r="N4" s="35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2"/>
      <c r="N5" s="35"/>
    </row>
    <row r="6" spans="1:14" ht="12.75">
      <c r="A6" s="73" t="s">
        <v>3</v>
      </c>
      <c r="B6" s="65"/>
      <c r="C6" s="74" t="s">
        <v>75</v>
      </c>
      <c r="D6" s="65"/>
      <c r="E6" s="75" t="s">
        <v>242</v>
      </c>
      <c r="F6" s="65"/>
      <c r="G6" s="75" t="s">
        <v>6</v>
      </c>
      <c r="H6" s="74" t="s">
        <v>260</v>
      </c>
      <c r="I6" s="75" t="s">
        <v>265</v>
      </c>
      <c r="J6" s="65"/>
      <c r="K6" s="65"/>
      <c r="L6" s="65"/>
      <c r="M6" s="72"/>
      <c r="N6" s="35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2"/>
      <c r="N7" s="35"/>
    </row>
    <row r="8" spans="1:14" ht="12.75">
      <c r="A8" s="73" t="s">
        <v>4</v>
      </c>
      <c r="B8" s="65"/>
      <c r="C8" s="74" t="s">
        <v>6</v>
      </c>
      <c r="D8" s="65"/>
      <c r="E8" s="75" t="s">
        <v>243</v>
      </c>
      <c r="F8" s="65"/>
      <c r="G8" s="75" t="s">
        <v>255</v>
      </c>
      <c r="H8" s="74" t="s">
        <v>261</v>
      </c>
      <c r="I8" s="75" t="s">
        <v>265</v>
      </c>
      <c r="J8" s="65"/>
      <c r="K8" s="65"/>
      <c r="L8" s="65"/>
      <c r="M8" s="72"/>
      <c r="N8" s="35"/>
    </row>
    <row r="9" spans="1:14" ht="12.7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35"/>
    </row>
    <row r="10" spans="1:14" ht="12.75">
      <c r="A10" s="1" t="s">
        <v>5</v>
      </c>
      <c r="B10" s="11" t="s">
        <v>70</v>
      </c>
      <c r="C10" s="11" t="s">
        <v>76</v>
      </c>
      <c r="D10" s="11" t="s">
        <v>155</v>
      </c>
      <c r="E10" s="11" t="s">
        <v>244</v>
      </c>
      <c r="F10" s="18" t="s">
        <v>254</v>
      </c>
      <c r="G10" s="22" t="s">
        <v>256</v>
      </c>
      <c r="H10" s="79" t="s">
        <v>262</v>
      </c>
      <c r="I10" s="80"/>
      <c r="J10" s="81"/>
      <c r="K10" s="79" t="s">
        <v>268</v>
      </c>
      <c r="L10" s="81"/>
      <c r="M10" s="30" t="s">
        <v>270</v>
      </c>
      <c r="N10" s="36"/>
    </row>
    <row r="11" spans="1:62" ht="12.75">
      <c r="A11" s="2" t="s">
        <v>6</v>
      </c>
      <c r="B11" s="12" t="s">
        <v>6</v>
      </c>
      <c r="C11" s="12" t="s">
        <v>6</v>
      </c>
      <c r="D11" s="16" t="s">
        <v>156</v>
      </c>
      <c r="E11" s="12" t="s">
        <v>6</v>
      </c>
      <c r="F11" s="12" t="s">
        <v>6</v>
      </c>
      <c r="G11" s="23" t="s">
        <v>257</v>
      </c>
      <c r="H11" s="24" t="s">
        <v>263</v>
      </c>
      <c r="I11" s="25" t="s">
        <v>266</v>
      </c>
      <c r="J11" s="26" t="s">
        <v>267</v>
      </c>
      <c r="K11" s="24" t="s">
        <v>269</v>
      </c>
      <c r="L11" s="26" t="s">
        <v>267</v>
      </c>
      <c r="M11" s="31" t="s">
        <v>271</v>
      </c>
      <c r="N11" s="36"/>
      <c r="Z11" s="28" t="s">
        <v>273</v>
      </c>
      <c r="AA11" s="28" t="s">
        <v>274</v>
      </c>
      <c r="AB11" s="28" t="s">
        <v>275</v>
      </c>
      <c r="AC11" s="28" t="s">
        <v>276</v>
      </c>
      <c r="AD11" s="28" t="s">
        <v>277</v>
      </c>
      <c r="AE11" s="28" t="s">
        <v>278</v>
      </c>
      <c r="AF11" s="28" t="s">
        <v>279</v>
      </c>
      <c r="AG11" s="28" t="s">
        <v>280</v>
      </c>
      <c r="AH11" s="28" t="s">
        <v>281</v>
      </c>
      <c r="BH11" s="28" t="s">
        <v>315</v>
      </c>
      <c r="BI11" s="28" t="s">
        <v>316</v>
      </c>
      <c r="BJ11" s="28" t="s">
        <v>317</v>
      </c>
    </row>
    <row r="12" spans="1:13" ht="12.75">
      <c r="A12" s="3"/>
      <c r="B12" s="13" t="s">
        <v>71</v>
      </c>
      <c r="C12" s="13"/>
      <c r="D12" s="13" t="s">
        <v>157</v>
      </c>
      <c r="E12" s="3" t="s">
        <v>6</v>
      </c>
      <c r="F12" s="3" t="s">
        <v>6</v>
      </c>
      <c r="G12" s="3" t="s">
        <v>6</v>
      </c>
      <c r="H12" s="39">
        <f>H13+H16+H20+H27+H29+H37+H40+H42+H46+H48+H52</f>
        <v>0</v>
      </c>
      <c r="I12" s="39">
        <f>I13+I16+I20+I27+I29+I37+I40+I42+I46+I48+I52</f>
        <v>0</v>
      </c>
      <c r="J12" s="39">
        <f>J13+J16+J20+J27+J29+J37+J40+J42+J46+J48+J52</f>
        <v>0</v>
      </c>
      <c r="K12" s="27"/>
      <c r="L12" s="39">
        <f>L13+L16+L20+L27+L29+L37+L40+L42+L46+L48+L52</f>
        <v>0.9396600000000002</v>
      </c>
      <c r="M12" s="27"/>
    </row>
    <row r="13" spans="1:47" ht="12.75">
      <c r="A13" s="4"/>
      <c r="B13" s="14" t="s">
        <v>71</v>
      </c>
      <c r="C13" s="14" t="s">
        <v>77</v>
      </c>
      <c r="D13" s="14" t="s">
        <v>158</v>
      </c>
      <c r="E13" s="4" t="s">
        <v>6</v>
      </c>
      <c r="F13" s="4" t="s">
        <v>6</v>
      </c>
      <c r="G13" s="4" t="s">
        <v>6</v>
      </c>
      <c r="H13" s="40">
        <f>SUM(H14:H15)</f>
        <v>0</v>
      </c>
      <c r="I13" s="40">
        <f>SUM(I14:I15)</f>
        <v>0</v>
      </c>
      <c r="J13" s="40">
        <f>SUM(J14:J15)</f>
        <v>0</v>
      </c>
      <c r="K13" s="28"/>
      <c r="L13" s="40">
        <f>SUM(L14:L15)</f>
        <v>0.00681</v>
      </c>
      <c r="M13" s="28"/>
      <c r="AI13" s="28" t="s">
        <v>71</v>
      </c>
      <c r="AS13" s="40">
        <f>SUM(AJ14:AJ15)</f>
        <v>0</v>
      </c>
      <c r="AT13" s="40">
        <f>SUM(AK14:AK15)</f>
        <v>0</v>
      </c>
      <c r="AU13" s="40">
        <f>SUM(AL14:AL15)</f>
        <v>0</v>
      </c>
    </row>
    <row r="14" spans="1:62" ht="26.25">
      <c r="A14" s="5" t="s">
        <v>7</v>
      </c>
      <c r="B14" s="5" t="s">
        <v>71</v>
      </c>
      <c r="C14" s="5" t="s">
        <v>78</v>
      </c>
      <c r="D14" s="109" t="s">
        <v>159</v>
      </c>
      <c r="E14" s="5" t="s">
        <v>245</v>
      </c>
      <c r="F14" s="19">
        <v>2</v>
      </c>
      <c r="G14" s="19">
        <v>0</v>
      </c>
      <c r="H14" s="19">
        <f>F14*AO14</f>
        <v>0</v>
      </c>
      <c r="I14" s="19">
        <f>F14*AP14</f>
        <v>0</v>
      </c>
      <c r="J14" s="19">
        <f>F14*G14</f>
        <v>0</v>
      </c>
      <c r="K14" s="19">
        <v>0.00288</v>
      </c>
      <c r="L14" s="19">
        <f>F14*K14</f>
        <v>0.00576</v>
      </c>
      <c r="M14" s="32" t="s">
        <v>272</v>
      </c>
      <c r="Z14" s="37">
        <f>IF(AQ14="5",BJ14,0)</f>
        <v>0</v>
      </c>
      <c r="AB14" s="37">
        <f>IF(AQ14="1",BH14,0)</f>
        <v>0</v>
      </c>
      <c r="AC14" s="37">
        <f>IF(AQ14="1",BI14,0)</f>
        <v>0</v>
      </c>
      <c r="AD14" s="37">
        <f>IF(AQ14="7",BH14,0)</f>
        <v>0</v>
      </c>
      <c r="AE14" s="37">
        <f>IF(AQ14="7",BI14,0)</f>
        <v>0</v>
      </c>
      <c r="AF14" s="37">
        <f>IF(AQ14="2",BH14,0)</f>
        <v>0</v>
      </c>
      <c r="AG14" s="37">
        <f>IF(AQ14="2",BI14,0)</f>
        <v>0</v>
      </c>
      <c r="AH14" s="37">
        <f>IF(AQ14="0",BJ14,0)</f>
        <v>0</v>
      </c>
      <c r="AI14" s="28" t="s">
        <v>71</v>
      </c>
      <c r="AJ14" s="19">
        <f>IF(AN14=0,J14,0)</f>
        <v>0</v>
      </c>
      <c r="AK14" s="19">
        <f>IF(AN14=15,J14,0)</f>
        <v>0</v>
      </c>
      <c r="AL14" s="19">
        <f>IF(AN14=21,J14,0)</f>
        <v>0</v>
      </c>
      <c r="AN14" s="37">
        <v>21</v>
      </c>
      <c r="AO14" s="37">
        <f>G14*0.490944584382872</f>
        <v>0</v>
      </c>
      <c r="AP14" s="37">
        <f>G14*(1-0.490944584382872)</f>
        <v>0</v>
      </c>
      <c r="AQ14" s="32" t="s">
        <v>13</v>
      </c>
      <c r="AV14" s="37">
        <f>AW14+AX14</f>
        <v>0</v>
      </c>
      <c r="AW14" s="37">
        <f>F14*AO14</f>
        <v>0</v>
      </c>
      <c r="AX14" s="37">
        <f>F14*AP14</f>
        <v>0</v>
      </c>
      <c r="AY14" s="38" t="s">
        <v>283</v>
      </c>
      <c r="AZ14" s="38" t="s">
        <v>302</v>
      </c>
      <c r="BA14" s="28" t="s">
        <v>312</v>
      </c>
      <c r="BC14" s="37">
        <f>AW14+AX14</f>
        <v>0</v>
      </c>
      <c r="BD14" s="37">
        <f>G14/(100-BE14)*100</f>
        <v>0</v>
      </c>
      <c r="BE14" s="37">
        <v>0</v>
      </c>
      <c r="BF14" s="37">
        <f>L14</f>
        <v>0.00576</v>
      </c>
      <c r="BH14" s="19">
        <f>F14*AO14</f>
        <v>0</v>
      </c>
      <c r="BI14" s="19">
        <f>F14*AP14</f>
        <v>0</v>
      </c>
      <c r="BJ14" s="19">
        <f>F14*G14</f>
        <v>0</v>
      </c>
    </row>
    <row r="15" spans="1:62" ht="26.25">
      <c r="A15" s="5" t="s">
        <v>8</v>
      </c>
      <c r="B15" s="5" t="s">
        <v>71</v>
      </c>
      <c r="C15" s="5" t="s">
        <v>79</v>
      </c>
      <c r="D15" s="109" t="s">
        <v>160</v>
      </c>
      <c r="E15" s="5" t="s">
        <v>245</v>
      </c>
      <c r="F15" s="19">
        <v>1.5</v>
      </c>
      <c r="G15" s="19">
        <v>0</v>
      </c>
      <c r="H15" s="19">
        <f>F15*AO15</f>
        <v>0</v>
      </c>
      <c r="I15" s="19">
        <f>F15*AP15</f>
        <v>0</v>
      </c>
      <c r="J15" s="19">
        <f>F15*G15</f>
        <v>0</v>
      </c>
      <c r="K15" s="19">
        <v>0.0007</v>
      </c>
      <c r="L15" s="19">
        <f>F15*K15</f>
        <v>0.00105</v>
      </c>
      <c r="M15" s="32" t="s">
        <v>272</v>
      </c>
      <c r="Z15" s="37">
        <f>IF(AQ15="5",BJ15,0)</f>
        <v>0</v>
      </c>
      <c r="AB15" s="37">
        <f>IF(AQ15="1",BH15,0)</f>
        <v>0</v>
      </c>
      <c r="AC15" s="37">
        <f>IF(AQ15="1",BI15,0)</f>
        <v>0</v>
      </c>
      <c r="AD15" s="37">
        <f>IF(AQ15="7",BH15,0)</f>
        <v>0</v>
      </c>
      <c r="AE15" s="37">
        <f>IF(AQ15="7",BI15,0)</f>
        <v>0</v>
      </c>
      <c r="AF15" s="37">
        <f>IF(AQ15="2",BH15,0)</f>
        <v>0</v>
      </c>
      <c r="AG15" s="37">
        <f>IF(AQ15="2",BI15,0)</f>
        <v>0</v>
      </c>
      <c r="AH15" s="37">
        <f>IF(AQ15="0",BJ15,0)</f>
        <v>0</v>
      </c>
      <c r="AI15" s="28" t="s">
        <v>71</v>
      </c>
      <c r="AJ15" s="19">
        <f>IF(AN15=0,J15,0)</f>
        <v>0</v>
      </c>
      <c r="AK15" s="19">
        <f>IF(AN15=15,J15,0)</f>
        <v>0</v>
      </c>
      <c r="AL15" s="19">
        <f>IF(AN15=21,J15,0)</f>
        <v>0</v>
      </c>
      <c r="AN15" s="37">
        <v>21</v>
      </c>
      <c r="AO15" s="37">
        <f>G15*0.351290303236252</f>
        <v>0</v>
      </c>
      <c r="AP15" s="37">
        <f>G15*(1-0.351290303236252)</f>
        <v>0</v>
      </c>
      <c r="AQ15" s="32" t="s">
        <v>13</v>
      </c>
      <c r="AV15" s="37">
        <f>AW15+AX15</f>
        <v>0</v>
      </c>
      <c r="AW15" s="37">
        <f>F15*AO15</f>
        <v>0</v>
      </c>
      <c r="AX15" s="37">
        <f>F15*AP15</f>
        <v>0</v>
      </c>
      <c r="AY15" s="38" t="s">
        <v>283</v>
      </c>
      <c r="AZ15" s="38" t="s">
        <v>302</v>
      </c>
      <c r="BA15" s="28" t="s">
        <v>312</v>
      </c>
      <c r="BC15" s="37">
        <f>AW15+AX15</f>
        <v>0</v>
      </c>
      <c r="BD15" s="37">
        <f>G15/(100-BE15)*100</f>
        <v>0</v>
      </c>
      <c r="BE15" s="37">
        <v>0</v>
      </c>
      <c r="BF15" s="37">
        <f>L15</f>
        <v>0.00105</v>
      </c>
      <c r="BH15" s="19">
        <f>F15*AO15</f>
        <v>0</v>
      </c>
      <c r="BI15" s="19">
        <f>F15*AP15</f>
        <v>0</v>
      </c>
      <c r="BJ15" s="19">
        <f>F15*G15</f>
        <v>0</v>
      </c>
    </row>
    <row r="16" spans="1:47" ht="12.75">
      <c r="A16" s="4"/>
      <c r="B16" s="14" t="s">
        <v>71</v>
      </c>
      <c r="C16" s="14" t="s">
        <v>80</v>
      </c>
      <c r="D16" s="14" t="s">
        <v>161</v>
      </c>
      <c r="E16" s="4" t="s">
        <v>6</v>
      </c>
      <c r="F16" s="4" t="s">
        <v>6</v>
      </c>
      <c r="G16" s="4" t="s">
        <v>6</v>
      </c>
      <c r="H16" s="40">
        <f>SUM(H17:H19)</f>
        <v>0</v>
      </c>
      <c r="I16" s="40">
        <f>SUM(I17:I19)</f>
        <v>0</v>
      </c>
      <c r="J16" s="40">
        <f>SUM(J17:J19)</f>
        <v>0</v>
      </c>
      <c r="K16" s="28"/>
      <c r="L16" s="40">
        <f>SUM(L17:L19)</f>
        <v>0</v>
      </c>
      <c r="M16" s="28"/>
      <c r="AI16" s="28" t="s">
        <v>71</v>
      </c>
      <c r="AS16" s="40">
        <f>SUM(AJ17:AJ19)</f>
        <v>0</v>
      </c>
      <c r="AT16" s="40">
        <f>SUM(AK17:AK19)</f>
        <v>0</v>
      </c>
      <c r="AU16" s="40">
        <f>SUM(AL17:AL19)</f>
        <v>0</v>
      </c>
    </row>
    <row r="17" spans="1:62" ht="12.75">
      <c r="A17" s="5" t="s">
        <v>9</v>
      </c>
      <c r="B17" s="5" t="s">
        <v>71</v>
      </c>
      <c r="C17" s="5" t="s">
        <v>81</v>
      </c>
      <c r="D17" s="5" t="s">
        <v>162</v>
      </c>
      <c r="E17" s="5" t="s">
        <v>245</v>
      </c>
      <c r="F17" s="19">
        <v>103</v>
      </c>
      <c r="G17" s="19">
        <v>0</v>
      </c>
      <c r="H17" s="19">
        <f>F17*AO17</f>
        <v>0</v>
      </c>
      <c r="I17" s="19">
        <f>F17*AP17</f>
        <v>0</v>
      </c>
      <c r="J17" s="19">
        <f>F17*G17</f>
        <v>0</v>
      </c>
      <c r="K17" s="19">
        <v>0</v>
      </c>
      <c r="L17" s="19">
        <f>F17*K17</f>
        <v>0</v>
      </c>
      <c r="M17" s="32" t="s">
        <v>272</v>
      </c>
      <c r="Z17" s="37">
        <f>IF(AQ17="5",BJ17,0)</f>
        <v>0</v>
      </c>
      <c r="AB17" s="37">
        <f>IF(AQ17="1",BH17,0)</f>
        <v>0</v>
      </c>
      <c r="AC17" s="37">
        <f>IF(AQ17="1",BI17,0)</f>
        <v>0</v>
      </c>
      <c r="AD17" s="37">
        <f>IF(AQ17="7",BH17,0)</f>
        <v>0</v>
      </c>
      <c r="AE17" s="37">
        <f>IF(AQ17="7",BI17,0)</f>
        <v>0</v>
      </c>
      <c r="AF17" s="37">
        <f>IF(AQ17="2",BH17,0)</f>
        <v>0</v>
      </c>
      <c r="AG17" s="37">
        <f>IF(AQ17="2",BI17,0)</f>
        <v>0</v>
      </c>
      <c r="AH17" s="37">
        <f>IF(AQ17="0",BJ17,0)</f>
        <v>0</v>
      </c>
      <c r="AI17" s="28" t="s">
        <v>71</v>
      </c>
      <c r="AJ17" s="19">
        <f>IF(AN17=0,J17,0)</f>
        <v>0</v>
      </c>
      <c r="AK17" s="19">
        <f>IF(AN17=15,J17,0)</f>
        <v>0</v>
      </c>
      <c r="AL17" s="19">
        <f>IF(AN17=21,J17,0)</f>
        <v>0</v>
      </c>
      <c r="AN17" s="37">
        <v>21</v>
      </c>
      <c r="AO17" s="37">
        <f>G17*0</f>
        <v>0</v>
      </c>
      <c r="AP17" s="37">
        <f>G17*(1-0)</f>
        <v>0</v>
      </c>
      <c r="AQ17" s="32" t="s">
        <v>13</v>
      </c>
      <c r="AV17" s="37">
        <f>AW17+AX17</f>
        <v>0</v>
      </c>
      <c r="AW17" s="37">
        <f>F17*AO17</f>
        <v>0</v>
      </c>
      <c r="AX17" s="37">
        <f>F17*AP17</f>
        <v>0</v>
      </c>
      <c r="AY17" s="38" t="s">
        <v>284</v>
      </c>
      <c r="AZ17" s="38" t="s">
        <v>302</v>
      </c>
      <c r="BA17" s="28" t="s">
        <v>312</v>
      </c>
      <c r="BC17" s="37">
        <f>AW17+AX17</f>
        <v>0</v>
      </c>
      <c r="BD17" s="37">
        <f>G17/(100-BE17)*100</f>
        <v>0</v>
      </c>
      <c r="BE17" s="37">
        <v>0</v>
      </c>
      <c r="BF17" s="37">
        <f>L17</f>
        <v>0</v>
      </c>
      <c r="BH17" s="19">
        <f>F17*AO17</f>
        <v>0</v>
      </c>
      <c r="BI17" s="19">
        <f>F17*AP17</f>
        <v>0</v>
      </c>
      <c r="BJ17" s="19">
        <f>F17*G17</f>
        <v>0</v>
      </c>
    </row>
    <row r="18" spans="1:62" ht="12.75">
      <c r="A18" s="5" t="s">
        <v>10</v>
      </c>
      <c r="B18" s="5" t="s">
        <v>71</v>
      </c>
      <c r="C18" s="5" t="s">
        <v>82</v>
      </c>
      <c r="D18" s="5" t="s">
        <v>163</v>
      </c>
      <c r="E18" s="5" t="s">
        <v>246</v>
      </c>
      <c r="F18" s="19">
        <v>20</v>
      </c>
      <c r="G18" s="19">
        <v>0</v>
      </c>
      <c r="H18" s="19">
        <f>F18*AO18</f>
        <v>0</v>
      </c>
      <c r="I18" s="19">
        <f>F18*AP18</f>
        <v>0</v>
      </c>
      <c r="J18" s="19">
        <f>F18*G18</f>
        <v>0</v>
      </c>
      <c r="K18" s="19">
        <v>0</v>
      </c>
      <c r="L18" s="19">
        <f>F18*K18</f>
        <v>0</v>
      </c>
      <c r="M18" s="32" t="s">
        <v>272</v>
      </c>
      <c r="Z18" s="37">
        <f>IF(AQ18="5",BJ18,0)</f>
        <v>0</v>
      </c>
      <c r="AB18" s="37">
        <f>IF(AQ18="1",BH18,0)</f>
        <v>0</v>
      </c>
      <c r="AC18" s="37">
        <f>IF(AQ18="1",BI18,0)</f>
        <v>0</v>
      </c>
      <c r="AD18" s="37">
        <f>IF(AQ18="7",BH18,0)</f>
        <v>0</v>
      </c>
      <c r="AE18" s="37">
        <f>IF(AQ18="7",BI18,0)</f>
        <v>0</v>
      </c>
      <c r="AF18" s="37">
        <f>IF(AQ18="2",BH18,0)</f>
        <v>0</v>
      </c>
      <c r="AG18" s="37">
        <f>IF(AQ18="2",BI18,0)</f>
        <v>0</v>
      </c>
      <c r="AH18" s="37">
        <f>IF(AQ18="0",BJ18,0)</f>
        <v>0</v>
      </c>
      <c r="AI18" s="28" t="s">
        <v>71</v>
      </c>
      <c r="AJ18" s="19">
        <f>IF(AN18=0,J18,0)</f>
        <v>0</v>
      </c>
      <c r="AK18" s="19">
        <f>IF(AN18=15,J18,0)</f>
        <v>0</v>
      </c>
      <c r="AL18" s="19">
        <f>IF(AN18=21,J18,0)</f>
        <v>0</v>
      </c>
      <c r="AN18" s="37">
        <v>21</v>
      </c>
      <c r="AO18" s="37">
        <f>G18*0</f>
        <v>0</v>
      </c>
      <c r="AP18" s="37">
        <f>G18*(1-0)</f>
        <v>0</v>
      </c>
      <c r="AQ18" s="32" t="s">
        <v>13</v>
      </c>
      <c r="AV18" s="37">
        <f>AW18+AX18</f>
        <v>0</v>
      </c>
      <c r="AW18" s="37">
        <f>F18*AO18</f>
        <v>0</v>
      </c>
      <c r="AX18" s="37">
        <f>F18*AP18</f>
        <v>0</v>
      </c>
      <c r="AY18" s="38" t="s">
        <v>284</v>
      </c>
      <c r="AZ18" s="38" t="s">
        <v>302</v>
      </c>
      <c r="BA18" s="28" t="s">
        <v>312</v>
      </c>
      <c r="BC18" s="37">
        <f>AW18+AX18</f>
        <v>0</v>
      </c>
      <c r="BD18" s="37">
        <f>G18/(100-BE18)*100</f>
        <v>0</v>
      </c>
      <c r="BE18" s="37">
        <v>0</v>
      </c>
      <c r="BF18" s="37">
        <f>L18</f>
        <v>0</v>
      </c>
      <c r="BH18" s="19">
        <f>F18*AO18</f>
        <v>0</v>
      </c>
      <c r="BI18" s="19">
        <f>F18*AP18</f>
        <v>0</v>
      </c>
      <c r="BJ18" s="19">
        <f>F18*G18</f>
        <v>0</v>
      </c>
    </row>
    <row r="19" spans="1:62" ht="12.75">
      <c r="A19" s="17" t="s">
        <v>11</v>
      </c>
      <c r="B19" s="17" t="s">
        <v>71</v>
      </c>
      <c r="C19" s="17" t="s">
        <v>83</v>
      </c>
      <c r="D19" s="17" t="s">
        <v>164</v>
      </c>
      <c r="E19" s="17" t="s">
        <v>246</v>
      </c>
      <c r="F19" s="37">
        <v>20</v>
      </c>
      <c r="G19" s="19">
        <v>0</v>
      </c>
      <c r="H19" s="37">
        <f>F19*AO19</f>
        <v>0</v>
      </c>
      <c r="I19" s="37">
        <f>F19*AP19</f>
        <v>0</v>
      </c>
      <c r="J19" s="37">
        <f>F19*G19</f>
        <v>0</v>
      </c>
      <c r="K19" s="37">
        <v>0</v>
      </c>
      <c r="L19" s="37">
        <f>F19*K19</f>
        <v>0</v>
      </c>
      <c r="M19" s="38" t="s">
        <v>272</v>
      </c>
      <c r="Z19" s="37">
        <f>IF(AQ19="5",BJ19,0)</f>
        <v>0</v>
      </c>
      <c r="AB19" s="37">
        <f>IF(AQ19="1",BH19,0)</f>
        <v>0</v>
      </c>
      <c r="AC19" s="37">
        <f>IF(AQ19="1",BI19,0)</f>
        <v>0</v>
      </c>
      <c r="AD19" s="37">
        <f>IF(AQ19="7",BH19,0)</f>
        <v>0</v>
      </c>
      <c r="AE19" s="37">
        <f>IF(AQ19="7",BI19,0)</f>
        <v>0</v>
      </c>
      <c r="AF19" s="37">
        <f>IF(AQ19="2",BH19,0)</f>
        <v>0</v>
      </c>
      <c r="AG19" s="37">
        <f>IF(AQ19="2",BI19,0)</f>
        <v>0</v>
      </c>
      <c r="AH19" s="37">
        <f>IF(AQ19="0",BJ19,0)</f>
        <v>0</v>
      </c>
      <c r="AI19" s="28" t="s">
        <v>71</v>
      </c>
      <c r="AJ19" s="19">
        <f>IF(AN19=0,J19,0)</f>
        <v>0</v>
      </c>
      <c r="AK19" s="19">
        <f>IF(AN19=15,J19,0)</f>
        <v>0</v>
      </c>
      <c r="AL19" s="19">
        <f>IF(AN19=21,J19,0)</f>
        <v>0</v>
      </c>
      <c r="AN19" s="37">
        <v>21</v>
      </c>
      <c r="AO19" s="37">
        <f>G19*0</f>
        <v>0</v>
      </c>
      <c r="AP19" s="37">
        <f>G19*(1-0)</f>
        <v>0</v>
      </c>
      <c r="AQ19" s="32" t="s">
        <v>13</v>
      </c>
      <c r="AV19" s="37">
        <f>AW19+AX19</f>
        <v>0</v>
      </c>
      <c r="AW19" s="37">
        <f>F19*AO19</f>
        <v>0</v>
      </c>
      <c r="AX19" s="37">
        <f>F19*AP19</f>
        <v>0</v>
      </c>
      <c r="AY19" s="38" t="s">
        <v>284</v>
      </c>
      <c r="AZ19" s="38" t="s">
        <v>302</v>
      </c>
      <c r="BA19" s="28" t="s">
        <v>312</v>
      </c>
      <c r="BC19" s="37">
        <f>AW19+AX19</f>
        <v>0</v>
      </c>
      <c r="BD19" s="37">
        <f>G19/(100-BE19)*100</f>
        <v>0</v>
      </c>
      <c r="BE19" s="37">
        <v>0</v>
      </c>
      <c r="BF19" s="37">
        <f>L19</f>
        <v>0</v>
      </c>
      <c r="BH19" s="19">
        <f>F19*AO19</f>
        <v>0</v>
      </c>
      <c r="BI19" s="19">
        <f>F19*AP19</f>
        <v>0</v>
      </c>
      <c r="BJ19" s="19">
        <f>F19*G19</f>
        <v>0</v>
      </c>
    </row>
    <row r="20" spans="1:47" ht="12.75">
      <c r="A20" s="4"/>
      <c r="B20" s="14" t="s">
        <v>71</v>
      </c>
      <c r="C20" s="14" t="s">
        <v>84</v>
      </c>
      <c r="D20" s="14" t="s">
        <v>165</v>
      </c>
      <c r="E20" s="4" t="s">
        <v>6</v>
      </c>
      <c r="F20" s="4" t="s">
        <v>6</v>
      </c>
      <c r="G20" s="4" t="s">
        <v>6</v>
      </c>
      <c r="H20" s="40">
        <f>SUM(H21:H26)</f>
        <v>0</v>
      </c>
      <c r="I20" s="40">
        <f>SUM(I21:I26)</f>
        <v>0</v>
      </c>
      <c r="J20" s="40">
        <f>SUM(J21:J26)</f>
        <v>0</v>
      </c>
      <c r="K20" s="28"/>
      <c r="L20" s="40">
        <f>SUM(L21:L26)</f>
        <v>0.8849700000000001</v>
      </c>
      <c r="M20" s="28"/>
      <c r="AI20" s="28" t="s">
        <v>71</v>
      </c>
      <c r="AS20" s="40">
        <f>SUM(AJ21:AJ26)</f>
        <v>0</v>
      </c>
      <c r="AT20" s="40">
        <f>SUM(AK21:AK26)</f>
        <v>0</v>
      </c>
      <c r="AU20" s="40">
        <f>SUM(AL21:AL26)</f>
        <v>0</v>
      </c>
    </row>
    <row r="21" spans="1:62" ht="12.75">
      <c r="A21" s="5" t="s">
        <v>12</v>
      </c>
      <c r="B21" s="5" t="s">
        <v>71</v>
      </c>
      <c r="C21" s="5" t="s">
        <v>85</v>
      </c>
      <c r="D21" s="5" t="s">
        <v>166</v>
      </c>
      <c r="E21" s="5" t="s">
        <v>245</v>
      </c>
      <c r="F21" s="19">
        <v>1</v>
      </c>
      <c r="G21" s="19">
        <v>0</v>
      </c>
      <c r="H21" s="19">
        <f aca="true" t="shared" si="0" ref="H21:H26">F21*AO21</f>
        <v>0</v>
      </c>
      <c r="I21" s="19">
        <f aca="true" t="shared" si="1" ref="I21:I26">F21*AP21</f>
        <v>0</v>
      </c>
      <c r="J21" s="19">
        <f aca="true" t="shared" si="2" ref="J21:J26">F21*G21</f>
        <v>0</v>
      </c>
      <c r="K21" s="19">
        <v>0.00825</v>
      </c>
      <c r="L21" s="19">
        <f aca="true" t="shared" si="3" ref="L21:L26">F21*K21</f>
        <v>0.00825</v>
      </c>
      <c r="M21" s="32" t="s">
        <v>272</v>
      </c>
      <c r="Z21" s="37">
        <f aca="true" t="shared" si="4" ref="Z21:Z26">IF(AQ21="5",BJ21,0)</f>
        <v>0</v>
      </c>
      <c r="AB21" s="37">
        <f aca="true" t="shared" si="5" ref="AB21:AB26">IF(AQ21="1",BH21,0)</f>
        <v>0</v>
      </c>
      <c r="AC21" s="37">
        <f aca="true" t="shared" si="6" ref="AC21:AC26">IF(AQ21="1",BI21,0)</f>
        <v>0</v>
      </c>
      <c r="AD21" s="37">
        <f aca="true" t="shared" si="7" ref="AD21:AD26">IF(AQ21="7",BH21,0)</f>
        <v>0</v>
      </c>
      <c r="AE21" s="37">
        <f aca="true" t="shared" si="8" ref="AE21:AE26">IF(AQ21="7",BI21,0)</f>
        <v>0</v>
      </c>
      <c r="AF21" s="37">
        <f aca="true" t="shared" si="9" ref="AF21:AF26">IF(AQ21="2",BH21,0)</f>
        <v>0</v>
      </c>
      <c r="AG21" s="37">
        <f aca="true" t="shared" si="10" ref="AG21:AG26">IF(AQ21="2",BI21,0)</f>
        <v>0</v>
      </c>
      <c r="AH21" s="37">
        <f aca="true" t="shared" si="11" ref="AH21:AH26">IF(AQ21="0",BJ21,0)</f>
        <v>0</v>
      </c>
      <c r="AI21" s="28" t="s">
        <v>71</v>
      </c>
      <c r="AJ21" s="19">
        <f aca="true" t="shared" si="12" ref="AJ21:AJ26">IF(AN21=0,J21,0)</f>
        <v>0</v>
      </c>
      <c r="AK21" s="19">
        <f aca="true" t="shared" si="13" ref="AK21:AK26">IF(AN21=15,J21,0)</f>
        <v>0</v>
      </c>
      <c r="AL21" s="19">
        <f aca="true" t="shared" si="14" ref="AL21:AL26">IF(AN21=21,J21,0)</f>
        <v>0</v>
      </c>
      <c r="AN21" s="37">
        <v>21</v>
      </c>
      <c r="AO21" s="37">
        <f>G21*0.536932971517703</f>
        <v>0</v>
      </c>
      <c r="AP21" s="37">
        <f>G21*(1-0.536932971517703)</f>
        <v>0</v>
      </c>
      <c r="AQ21" s="32" t="s">
        <v>13</v>
      </c>
      <c r="AV21" s="37">
        <f aca="true" t="shared" si="15" ref="AV21:AV26">AW21+AX21</f>
        <v>0</v>
      </c>
      <c r="AW21" s="37">
        <f aca="true" t="shared" si="16" ref="AW21:AW26">F21*AO21</f>
        <v>0</v>
      </c>
      <c r="AX21" s="37">
        <f aca="true" t="shared" si="17" ref="AX21:AX26">F21*AP21</f>
        <v>0</v>
      </c>
      <c r="AY21" s="38" t="s">
        <v>285</v>
      </c>
      <c r="AZ21" s="38" t="s">
        <v>303</v>
      </c>
      <c r="BA21" s="28" t="s">
        <v>312</v>
      </c>
      <c r="BC21" s="37">
        <f aca="true" t="shared" si="18" ref="BC21:BC26">AW21+AX21</f>
        <v>0</v>
      </c>
      <c r="BD21" s="37">
        <f aca="true" t="shared" si="19" ref="BD21:BD26">G21/(100-BE21)*100</f>
        <v>0</v>
      </c>
      <c r="BE21" s="37">
        <v>0</v>
      </c>
      <c r="BF21" s="37">
        <f aca="true" t="shared" si="20" ref="BF21:BF26">L21</f>
        <v>0.00825</v>
      </c>
      <c r="BH21" s="19">
        <f aca="true" t="shared" si="21" ref="BH21:BH26">F21*AO21</f>
        <v>0</v>
      </c>
      <c r="BI21" s="19">
        <f aca="true" t="shared" si="22" ref="BI21:BI26">F21*AP21</f>
        <v>0</v>
      </c>
      <c r="BJ21" s="19">
        <f aca="true" t="shared" si="23" ref="BJ21:BJ26">F21*G21</f>
        <v>0</v>
      </c>
    </row>
    <row r="22" spans="1:62" ht="12.75">
      <c r="A22" s="5" t="s">
        <v>13</v>
      </c>
      <c r="B22" s="5" t="s">
        <v>71</v>
      </c>
      <c r="C22" s="5" t="s">
        <v>86</v>
      </c>
      <c r="D22" s="5" t="s">
        <v>167</v>
      </c>
      <c r="E22" s="5" t="s">
        <v>245</v>
      </c>
      <c r="F22" s="19">
        <v>96</v>
      </c>
      <c r="G22" s="19">
        <v>0</v>
      </c>
      <c r="H22" s="19">
        <f t="shared" si="0"/>
        <v>0</v>
      </c>
      <c r="I22" s="19">
        <f t="shared" si="1"/>
        <v>0</v>
      </c>
      <c r="J22" s="19">
        <f t="shared" si="2"/>
        <v>0</v>
      </c>
      <c r="K22" s="19">
        <v>0.00888</v>
      </c>
      <c r="L22" s="19">
        <f t="shared" si="3"/>
        <v>0.8524800000000001</v>
      </c>
      <c r="M22" s="32" t="s">
        <v>272</v>
      </c>
      <c r="Z22" s="37">
        <f t="shared" si="4"/>
        <v>0</v>
      </c>
      <c r="AB22" s="37">
        <f t="shared" si="5"/>
        <v>0</v>
      </c>
      <c r="AC22" s="37">
        <f t="shared" si="6"/>
        <v>0</v>
      </c>
      <c r="AD22" s="37">
        <f t="shared" si="7"/>
        <v>0</v>
      </c>
      <c r="AE22" s="37">
        <f t="shared" si="8"/>
        <v>0</v>
      </c>
      <c r="AF22" s="37">
        <f t="shared" si="9"/>
        <v>0</v>
      </c>
      <c r="AG22" s="37">
        <f t="shared" si="10"/>
        <v>0</v>
      </c>
      <c r="AH22" s="37">
        <f t="shared" si="11"/>
        <v>0</v>
      </c>
      <c r="AI22" s="28" t="s">
        <v>71</v>
      </c>
      <c r="AJ22" s="19">
        <f t="shared" si="12"/>
        <v>0</v>
      </c>
      <c r="AK22" s="19">
        <f t="shared" si="13"/>
        <v>0</v>
      </c>
      <c r="AL22" s="19">
        <f t="shared" si="14"/>
        <v>0</v>
      </c>
      <c r="AN22" s="37">
        <v>21</v>
      </c>
      <c r="AO22" s="37">
        <f>G22*0.559313543599258</f>
        <v>0</v>
      </c>
      <c r="AP22" s="37">
        <f>G22*(1-0.559313543599258)</f>
        <v>0</v>
      </c>
      <c r="AQ22" s="32" t="s">
        <v>13</v>
      </c>
      <c r="AV22" s="37">
        <f t="shared" si="15"/>
        <v>0</v>
      </c>
      <c r="AW22" s="37">
        <f t="shared" si="16"/>
        <v>0</v>
      </c>
      <c r="AX22" s="37">
        <f t="shared" si="17"/>
        <v>0</v>
      </c>
      <c r="AY22" s="38" t="s">
        <v>285</v>
      </c>
      <c r="AZ22" s="38" t="s">
        <v>303</v>
      </c>
      <c r="BA22" s="28" t="s">
        <v>312</v>
      </c>
      <c r="BC22" s="37">
        <f t="shared" si="18"/>
        <v>0</v>
      </c>
      <c r="BD22" s="37">
        <f t="shared" si="19"/>
        <v>0</v>
      </c>
      <c r="BE22" s="37">
        <v>0</v>
      </c>
      <c r="BF22" s="37">
        <f t="shared" si="20"/>
        <v>0.8524800000000001</v>
      </c>
      <c r="BH22" s="19">
        <f t="shared" si="21"/>
        <v>0</v>
      </c>
      <c r="BI22" s="19">
        <f t="shared" si="22"/>
        <v>0</v>
      </c>
      <c r="BJ22" s="19">
        <f t="shared" si="23"/>
        <v>0</v>
      </c>
    </row>
    <row r="23" spans="1:62" ht="12.75">
      <c r="A23" s="5" t="s">
        <v>14</v>
      </c>
      <c r="B23" s="5" t="s">
        <v>71</v>
      </c>
      <c r="C23" s="5" t="s">
        <v>87</v>
      </c>
      <c r="D23" s="5" t="s">
        <v>168</v>
      </c>
      <c r="E23" s="5" t="s">
        <v>245</v>
      </c>
      <c r="F23" s="19">
        <v>48</v>
      </c>
      <c r="G23" s="19">
        <v>0</v>
      </c>
      <c r="H23" s="19">
        <f t="shared" si="0"/>
        <v>0</v>
      </c>
      <c r="I23" s="19">
        <f t="shared" si="1"/>
        <v>0</v>
      </c>
      <c r="J23" s="19">
        <f t="shared" si="2"/>
        <v>0</v>
      </c>
      <c r="K23" s="19">
        <v>0.00041</v>
      </c>
      <c r="L23" s="19">
        <f t="shared" si="3"/>
        <v>0.01968</v>
      </c>
      <c r="M23" s="32" t="s">
        <v>272</v>
      </c>
      <c r="Z23" s="37">
        <f t="shared" si="4"/>
        <v>0</v>
      </c>
      <c r="AB23" s="37">
        <f t="shared" si="5"/>
        <v>0</v>
      </c>
      <c r="AC23" s="37">
        <f t="shared" si="6"/>
        <v>0</v>
      </c>
      <c r="AD23" s="37">
        <f t="shared" si="7"/>
        <v>0</v>
      </c>
      <c r="AE23" s="37">
        <f t="shared" si="8"/>
        <v>0</v>
      </c>
      <c r="AF23" s="37">
        <f t="shared" si="9"/>
        <v>0</v>
      </c>
      <c r="AG23" s="37">
        <f t="shared" si="10"/>
        <v>0</v>
      </c>
      <c r="AH23" s="37">
        <f t="shared" si="11"/>
        <v>0</v>
      </c>
      <c r="AI23" s="28" t="s">
        <v>71</v>
      </c>
      <c r="AJ23" s="19">
        <f t="shared" si="12"/>
        <v>0</v>
      </c>
      <c r="AK23" s="19">
        <f t="shared" si="13"/>
        <v>0</v>
      </c>
      <c r="AL23" s="19">
        <f t="shared" si="14"/>
        <v>0</v>
      </c>
      <c r="AN23" s="37">
        <v>21</v>
      </c>
      <c r="AO23" s="37">
        <f>G23*0.240186567164179</f>
        <v>0</v>
      </c>
      <c r="AP23" s="37">
        <f>G23*(1-0.240186567164179)</f>
        <v>0</v>
      </c>
      <c r="AQ23" s="32" t="s">
        <v>13</v>
      </c>
      <c r="AV23" s="37">
        <f t="shared" si="15"/>
        <v>0</v>
      </c>
      <c r="AW23" s="37">
        <f t="shared" si="16"/>
        <v>0</v>
      </c>
      <c r="AX23" s="37">
        <f t="shared" si="17"/>
        <v>0</v>
      </c>
      <c r="AY23" s="38" t="s">
        <v>285</v>
      </c>
      <c r="AZ23" s="38" t="s">
        <v>303</v>
      </c>
      <c r="BA23" s="28" t="s">
        <v>312</v>
      </c>
      <c r="BC23" s="37">
        <f t="shared" si="18"/>
        <v>0</v>
      </c>
      <c r="BD23" s="37">
        <f t="shared" si="19"/>
        <v>0</v>
      </c>
      <c r="BE23" s="37">
        <v>0</v>
      </c>
      <c r="BF23" s="37">
        <f t="shared" si="20"/>
        <v>0.01968</v>
      </c>
      <c r="BH23" s="19">
        <f t="shared" si="21"/>
        <v>0</v>
      </c>
      <c r="BI23" s="19">
        <f t="shared" si="22"/>
        <v>0</v>
      </c>
      <c r="BJ23" s="19">
        <f t="shared" si="23"/>
        <v>0</v>
      </c>
    </row>
    <row r="24" spans="1:62" ht="12.75">
      <c r="A24" s="5" t="s">
        <v>15</v>
      </c>
      <c r="B24" s="5" t="s">
        <v>71</v>
      </c>
      <c r="C24" s="5" t="s">
        <v>88</v>
      </c>
      <c r="D24" s="5" t="s">
        <v>169</v>
      </c>
      <c r="E24" s="5" t="s">
        <v>246</v>
      </c>
      <c r="F24" s="19">
        <v>6</v>
      </c>
      <c r="G24" s="19">
        <v>0</v>
      </c>
      <c r="H24" s="19">
        <f t="shared" si="0"/>
        <v>0</v>
      </c>
      <c r="I24" s="19">
        <f t="shared" si="1"/>
        <v>0</v>
      </c>
      <c r="J24" s="19">
        <f t="shared" si="2"/>
        <v>0</v>
      </c>
      <c r="K24" s="19">
        <v>0.00076</v>
      </c>
      <c r="L24" s="19">
        <f t="shared" si="3"/>
        <v>0.00456</v>
      </c>
      <c r="M24" s="32" t="s">
        <v>272</v>
      </c>
      <c r="Z24" s="37">
        <f t="shared" si="4"/>
        <v>0</v>
      </c>
      <c r="AB24" s="37">
        <f t="shared" si="5"/>
        <v>0</v>
      </c>
      <c r="AC24" s="37">
        <f t="shared" si="6"/>
        <v>0</v>
      </c>
      <c r="AD24" s="37">
        <f t="shared" si="7"/>
        <v>0</v>
      </c>
      <c r="AE24" s="37">
        <f t="shared" si="8"/>
        <v>0</v>
      </c>
      <c r="AF24" s="37">
        <f t="shared" si="9"/>
        <v>0</v>
      </c>
      <c r="AG24" s="37">
        <f t="shared" si="10"/>
        <v>0</v>
      </c>
      <c r="AH24" s="37">
        <f t="shared" si="11"/>
        <v>0</v>
      </c>
      <c r="AI24" s="28" t="s">
        <v>71</v>
      </c>
      <c r="AJ24" s="19">
        <f t="shared" si="12"/>
        <v>0</v>
      </c>
      <c r="AK24" s="19">
        <f t="shared" si="13"/>
        <v>0</v>
      </c>
      <c r="AL24" s="19">
        <f t="shared" si="14"/>
        <v>0</v>
      </c>
      <c r="AN24" s="37">
        <v>21</v>
      </c>
      <c r="AO24" s="37">
        <f>G24*0.835153906866614</f>
        <v>0</v>
      </c>
      <c r="AP24" s="37">
        <f>G24*(1-0.835153906866614)</f>
        <v>0</v>
      </c>
      <c r="AQ24" s="32" t="s">
        <v>13</v>
      </c>
      <c r="AV24" s="37">
        <f t="shared" si="15"/>
        <v>0</v>
      </c>
      <c r="AW24" s="37">
        <f t="shared" si="16"/>
        <v>0</v>
      </c>
      <c r="AX24" s="37">
        <f t="shared" si="17"/>
        <v>0</v>
      </c>
      <c r="AY24" s="38" t="s">
        <v>285</v>
      </c>
      <c r="AZ24" s="38" t="s">
        <v>303</v>
      </c>
      <c r="BA24" s="28" t="s">
        <v>312</v>
      </c>
      <c r="BC24" s="37">
        <f t="shared" si="18"/>
        <v>0</v>
      </c>
      <c r="BD24" s="37">
        <f t="shared" si="19"/>
        <v>0</v>
      </c>
      <c r="BE24" s="37">
        <v>0</v>
      </c>
      <c r="BF24" s="37">
        <f t="shared" si="20"/>
        <v>0.00456</v>
      </c>
      <c r="BH24" s="19">
        <f t="shared" si="21"/>
        <v>0</v>
      </c>
      <c r="BI24" s="19">
        <f t="shared" si="22"/>
        <v>0</v>
      </c>
      <c r="BJ24" s="19">
        <f t="shared" si="23"/>
        <v>0</v>
      </c>
    </row>
    <row r="25" spans="1:62" ht="12.75">
      <c r="A25" s="5" t="s">
        <v>16</v>
      </c>
      <c r="B25" s="5" t="s">
        <v>71</v>
      </c>
      <c r="C25" s="5" t="s">
        <v>89</v>
      </c>
      <c r="D25" s="5" t="s">
        <v>170</v>
      </c>
      <c r="E25" s="5" t="s">
        <v>245</v>
      </c>
      <c r="F25" s="19">
        <v>144</v>
      </c>
      <c r="G25" s="19">
        <v>0</v>
      </c>
      <c r="H25" s="19">
        <f t="shared" si="0"/>
        <v>0</v>
      </c>
      <c r="I25" s="19">
        <f t="shared" si="1"/>
        <v>0</v>
      </c>
      <c r="J25" s="19">
        <f t="shared" si="2"/>
        <v>0</v>
      </c>
      <c r="K25" s="19">
        <v>0</v>
      </c>
      <c r="L25" s="19">
        <f t="shared" si="3"/>
        <v>0</v>
      </c>
      <c r="M25" s="32" t="s">
        <v>272</v>
      </c>
      <c r="Z25" s="37">
        <f t="shared" si="4"/>
        <v>0</v>
      </c>
      <c r="AB25" s="37">
        <f t="shared" si="5"/>
        <v>0</v>
      </c>
      <c r="AC25" s="37">
        <f t="shared" si="6"/>
        <v>0</v>
      </c>
      <c r="AD25" s="37">
        <f t="shared" si="7"/>
        <v>0</v>
      </c>
      <c r="AE25" s="37">
        <f t="shared" si="8"/>
        <v>0</v>
      </c>
      <c r="AF25" s="37">
        <f t="shared" si="9"/>
        <v>0</v>
      </c>
      <c r="AG25" s="37">
        <f t="shared" si="10"/>
        <v>0</v>
      </c>
      <c r="AH25" s="37">
        <f t="shared" si="11"/>
        <v>0</v>
      </c>
      <c r="AI25" s="28" t="s">
        <v>71</v>
      </c>
      <c r="AJ25" s="19">
        <f t="shared" si="12"/>
        <v>0</v>
      </c>
      <c r="AK25" s="19">
        <f t="shared" si="13"/>
        <v>0</v>
      </c>
      <c r="AL25" s="19">
        <f t="shared" si="14"/>
        <v>0</v>
      </c>
      <c r="AN25" s="37">
        <v>21</v>
      </c>
      <c r="AO25" s="37">
        <f>G25*0.0223300970873786</f>
        <v>0</v>
      </c>
      <c r="AP25" s="37">
        <f>G25*(1-0.0223300970873786)</f>
        <v>0</v>
      </c>
      <c r="AQ25" s="32" t="s">
        <v>13</v>
      </c>
      <c r="AV25" s="37">
        <f t="shared" si="15"/>
        <v>0</v>
      </c>
      <c r="AW25" s="37">
        <f t="shared" si="16"/>
        <v>0</v>
      </c>
      <c r="AX25" s="37">
        <f t="shared" si="17"/>
        <v>0</v>
      </c>
      <c r="AY25" s="38" t="s">
        <v>285</v>
      </c>
      <c r="AZ25" s="38" t="s">
        <v>303</v>
      </c>
      <c r="BA25" s="28" t="s">
        <v>312</v>
      </c>
      <c r="BC25" s="37">
        <f t="shared" si="18"/>
        <v>0</v>
      </c>
      <c r="BD25" s="37">
        <f t="shared" si="19"/>
        <v>0</v>
      </c>
      <c r="BE25" s="37">
        <v>0</v>
      </c>
      <c r="BF25" s="37">
        <f t="shared" si="20"/>
        <v>0</v>
      </c>
      <c r="BH25" s="19">
        <f t="shared" si="21"/>
        <v>0</v>
      </c>
      <c r="BI25" s="19">
        <f t="shared" si="22"/>
        <v>0</v>
      </c>
      <c r="BJ25" s="19">
        <f t="shared" si="23"/>
        <v>0</v>
      </c>
    </row>
    <row r="26" spans="1:62" ht="12.75">
      <c r="A26" s="5" t="s">
        <v>17</v>
      </c>
      <c r="B26" s="5" t="s">
        <v>71</v>
      </c>
      <c r="C26" s="5" t="s">
        <v>90</v>
      </c>
      <c r="D26" s="5" t="s">
        <v>171</v>
      </c>
      <c r="E26" s="5" t="s">
        <v>246</v>
      </c>
      <c r="F26" s="19">
        <v>2</v>
      </c>
      <c r="G26" s="19">
        <v>0</v>
      </c>
      <c r="H26" s="19">
        <f t="shared" si="0"/>
        <v>0</v>
      </c>
      <c r="I26" s="19">
        <f t="shared" si="1"/>
        <v>0</v>
      </c>
      <c r="J26" s="19">
        <f t="shared" si="2"/>
        <v>0</v>
      </c>
      <c r="K26" s="19">
        <v>0</v>
      </c>
      <c r="L26" s="19">
        <f t="shared" si="3"/>
        <v>0</v>
      </c>
      <c r="M26" s="32" t="s">
        <v>272</v>
      </c>
      <c r="Z26" s="37">
        <f t="shared" si="4"/>
        <v>0</v>
      </c>
      <c r="AB26" s="37">
        <f t="shared" si="5"/>
        <v>0</v>
      </c>
      <c r="AC26" s="37">
        <f t="shared" si="6"/>
        <v>0</v>
      </c>
      <c r="AD26" s="37">
        <f t="shared" si="7"/>
        <v>0</v>
      </c>
      <c r="AE26" s="37">
        <f t="shared" si="8"/>
        <v>0</v>
      </c>
      <c r="AF26" s="37">
        <f t="shared" si="9"/>
        <v>0</v>
      </c>
      <c r="AG26" s="37">
        <f t="shared" si="10"/>
        <v>0</v>
      </c>
      <c r="AH26" s="37">
        <f t="shared" si="11"/>
        <v>0</v>
      </c>
      <c r="AI26" s="28" t="s">
        <v>71</v>
      </c>
      <c r="AJ26" s="19">
        <f t="shared" si="12"/>
        <v>0</v>
      </c>
      <c r="AK26" s="19">
        <f t="shared" si="13"/>
        <v>0</v>
      </c>
      <c r="AL26" s="19">
        <f t="shared" si="14"/>
        <v>0</v>
      </c>
      <c r="AN26" s="37">
        <v>21</v>
      </c>
      <c r="AO26" s="37">
        <f>G26*0</f>
        <v>0</v>
      </c>
      <c r="AP26" s="37">
        <f>G26*(1-0)</f>
        <v>0</v>
      </c>
      <c r="AQ26" s="32" t="s">
        <v>13</v>
      </c>
      <c r="AV26" s="37">
        <f t="shared" si="15"/>
        <v>0</v>
      </c>
      <c r="AW26" s="37">
        <f t="shared" si="16"/>
        <v>0</v>
      </c>
      <c r="AX26" s="37">
        <f t="shared" si="17"/>
        <v>0</v>
      </c>
      <c r="AY26" s="38" t="s">
        <v>285</v>
      </c>
      <c r="AZ26" s="38" t="s">
        <v>303</v>
      </c>
      <c r="BA26" s="28" t="s">
        <v>312</v>
      </c>
      <c r="BC26" s="37">
        <f t="shared" si="18"/>
        <v>0</v>
      </c>
      <c r="BD26" s="37">
        <f t="shared" si="19"/>
        <v>0</v>
      </c>
      <c r="BE26" s="37">
        <v>0</v>
      </c>
      <c r="BF26" s="37">
        <f t="shared" si="20"/>
        <v>0</v>
      </c>
      <c r="BH26" s="19">
        <f t="shared" si="21"/>
        <v>0</v>
      </c>
      <c r="BI26" s="19">
        <f t="shared" si="22"/>
        <v>0</v>
      </c>
      <c r="BJ26" s="19">
        <f t="shared" si="23"/>
        <v>0</v>
      </c>
    </row>
    <row r="27" spans="1:47" ht="12.75">
      <c r="A27" s="4"/>
      <c r="B27" s="14" t="s">
        <v>71</v>
      </c>
      <c r="C27" s="14" t="s">
        <v>91</v>
      </c>
      <c r="D27" s="14" t="s">
        <v>172</v>
      </c>
      <c r="E27" s="4" t="s">
        <v>6</v>
      </c>
      <c r="F27" s="4" t="s">
        <v>6</v>
      </c>
      <c r="G27" s="4" t="s">
        <v>6</v>
      </c>
      <c r="H27" s="40">
        <f>SUM(H28:H28)</f>
        <v>0</v>
      </c>
      <c r="I27" s="40">
        <f>SUM(I28:I28)</f>
        <v>0</v>
      </c>
      <c r="J27" s="40">
        <f>SUM(J28:J28)</f>
        <v>0</v>
      </c>
      <c r="K27" s="28"/>
      <c r="L27" s="40">
        <f>SUM(L28:L28)</f>
        <v>0</v>
      </c>
      <c r="M27" s="28"/>
      <c r="AI27" s="28" t="s">
        <v>71</v>
      </c>
      <c r="AS27" s="40">
        <f>SUM(AJ28:AJ28)</f>
        <v>0</v>
      </c>
      <c r="AT27" s="40">
        <f>SUM(AK28:AK28)</f>
        <v>0</v>
      </c>
      <c r="AU27" s="40">
        <f>SUM(AL28:AL28)</f>
        <v>0</v>
      </c>
    </row>
    <row r="28" spans="1:62" ht="26.25">
      <c r="A28" s="5" t="s">
        <v>18</v>
      </c>
      <c r="B28" s="5" t="s">
        <v>71</v>
      </c>
      <c r="C28" s="5" t="s">
        <v>92</v>
      </c>
      <c r="D28" s="109" t="s">
        <v>173</v>
      </c>
      <c r="E28" s="5" t="s">
        <v>247</v>
      </c>
      <c r="F28" s="19">
        <v>1</v>
      </c>
      <c r="G28" s="19">
        <v>0</v>
      </c>
      <c r="H28" s="19">
        <f>F28*AO28</f>
        <v>0</v>
      </c>
      <c r="I28" s="19">
        <f>F28*AP28</f>
        <v>0</v>
      </c>
      <c r="J28" s="19">
        <f>F28*G28</f>
        <v>0</v>
      </c>
      <c r="K28" s="19">
        <v>0</v>
      </c>
      <c r="L28" s="19">
        <f>F28*K28</f>
        <v>0</v>
      </c>
      <c r="M28" s="32"/>
      <c r="Z28" s="37">
        <f>IF(AQ28="5",BJ28,0)</f>
        <v>0</v>
      </c>
      <c r="AB28" s="37">
        <f>IF(AQ28="1",BH28,0)</f>
        <v>0</v>
      </c>
      <c r="AC28" s="37">
        <f>IF(AQ28="1",BI28,0)</f>
        <v>0</v>
      </c>
      <c r="AD28" s="37">
        <f>IF(AQ28="7",BH28,0)</f>
        <v>0</v>
      </c>
      <c r="AE28" s="37">
        <f>IF(AQ28="7",BI28,0)</f>
        <v>0</v>
      </c>
      <c r="AF28" s="37">
        <f>IF(AQ28="2",BH28,0)</f>
        <v>0</v>
      </c>
      <c r="AG28" s="37">
        <f>IF(AQ28="2",BI28,0)</f>
        <v>0</v>
      </c>
      <c r="AH28" s="37">
        <f>IF(AQ28="0",BJ28,0)</f>
        <v>0</v>
      </c>
      <c r="AI28" s="28" t="s">
        <v>71</v>
      </c>
      <c r="AJ28" s="19">
        <f>IF(AN28=0,J28,0)</f>
        <v>0</v>
      </c>
      <c r="AK28" s="19">
        <f>IF(AN28=15,J28,0)</f>
        <v>0</v>
      </c>
      <c r="AL28" s="19">
        <f>IF(AN28=21,J28,0)</f>
        <v>0</v>
      </c>
      <c r="AN28" s="37">
        <v>21</v>
      </c>
      <c r="AO28" s="37">
        <f>G28*0</f>
        <v>0</v>
      </c>
      <c r="AP28" s="37">
        <f>G28*(1-0)</f>
        <v>0</v>
      </c>
      <c r="AQ28" s="32" t="s">
        <v>13</v>
      </c>
      <c r="AV28" s="37">
        <f>AW28+AX28</f>
        <v>0</v>
      </c>
      <c r="AW28" s="37">
        <f>F28*AO28</f>
        <v>0</v>
      </c>
      <c r="AX28" s="37">
        <f>F28*AP28</f>
        <v>0</v>
      </c>
      <c r="AY28" s="38" t="s">
        <v>286</v>
      </c>
      <c r="AZ28" s="38" t="s">
        <v>303</v>
      </c>
      <c r="BA28" s="28" t="s">
        <v>312</v>
      </c>
      <c r="BC28" s="37">
        <f>AW28+AX28</f>
        <v>0</v>
      </c>
      <c r="BD28" s="37">
        <f>G28/(100-BE28)*100</f>
        <v>0</v>
      </c>
      <c r="BE28" s="37">
        <v>0</v>
      </c>
      <c r="BF28" s="37">
        <f>L28</f>
        <v>0</v>
      </c>
      <c r="BH28" s="19">
        <f>F28*AO28</f>
        <v>0</v>
      </c>
      <c r="BI28" s="19">
        <f>F28*AP28</f>
        <v>0</v>
      </c>
      <c r="BJ28" s="19">
        <f>F28*G28</f>
        <v>0</v>
      </c>
    </row>
    <row r="29" spans="1:47" ht="12.75">
      <c r="A29" s="4"/>
      <c r="B29" s="14" t="s">
        <v>71</v>
      </c>
      <c r="C29" s="14" t="s">
        <v>93</v>
      </c>
      <c r="D29" s="14" t="s">
        <v>174</v>
      </c>
      <c r="E29" s="4" t="s">
        <v>6</v>
      </c>
      <c r="F29" s="4" t="s">
        <v>6</v>
      </c>
      <c r="G29" s="4" t="s">
        <v>6</v>
      </c>
      <c r="H29" s="40">
        <f>SUM(H30:H36)</f>
        <v>0</v>
      </c>
      <c r="I29" s="40">
        <f>SUM(I30:I36)</f>
        <v>0</v>
      </c>
      <c r="J29" s="40">
        <f>SUM(J30:J36)</f>
        <v>0</v>
      </c>
      <c r="K29" s="28"/>
      <c r="L29" s="40">
        <f>SUM(L30:L36)</f>
        <v>0.01585</v>
      </c>
      <c r="M29" s="28"/>
      <c r="AI29" s="28" t="s">
        <v>71</v>
      </c>
      <c r="AS29" s="40">
        <f>SUM(AJ30:AJ36)</f>
        <v>0</v>
      </c>
      <c r="AT29" s="40">
        <f>SUM(AK30:AK36)</f>
        <v>0</v>
      </c>
      <c r="AU29" s="40">
        <f>SUM(AL30:AL36)</f>
        <v>0</v>
      </c>
    </row>
    <row r="30" spans="1:62" ht="12.75">
      <c r="A30" s="5" t="s">
        <v>19</v>
      </c>
      <c r="B30" s="5" t="s">
        <v>71</v>
      </c>
      <c r="C30" s="5" t="s">
        <v>94</v>
      </c>
      <c r="D30" s="5" t="s">
        <v>175</v>
      </c>
      <c r="E30" s="5" t="s">
        <v>246</v>
      </c>
      <c r="F30" s="19">
        <v>5</v>
      </c>
      <c r="G30" s="19">
        <v>0</v>
      </c>
      <c r="H30" s="19">
        <f aca="true" t="shared" si="24" ref="H30:H36">F30*AO30</f>
        <v>0</v>
      </c>
      <c r="I30" s="19">
        <f aca="true" t="shared" si="25" ref="I30:I36">F30*AP30</f>
        <v>0</v>
      </c>
      <c r="J30" s="19">
        <f aca="true" t="shared" si="26" ref="J30:J36">F30*G30</f>
        <v>0</v>
      </c>
      <c r="K30" s="19">
        <v>0.0013</v>
      </c>
      <c r="L30" s="19">
        <f aca="true" t="shared" si="27" ref="L30:L36">F30*K30</f>
        <v>0.0065</v>
      </c>
      <c r="M30" s="32" t="s">
        <v>272</v>
      </c>
      <c r="Z30" s="37">
        <f aca="true" t="shared" si="28" ref="Z30:Z36">IF(AQ30="5",BJ30,0)</f>
        <v>0</v>
      </c>
      <c r="AB30" s="37">
        <f aca="true" t="shared" si="29" ref="AB30:AB36">IF(AQ30="1",BH30,0)</f>
        <v>0</v>
      </c>
      <c r="AC30" s="37">
        <f aca="true" t="shared" si="30" ref="AC30:AC36">IF(AQ30="1",BI30,0)</f>
        <v>0</v>
      </c>
      <c r="AD30" s="37">
        <f aca="true" t="shared" si="31" ref="AD30:AD36">IF(AQ30="7",BH30,0)</f>
        <v>0</v>
      </c>
      <c r="AE30" s="37">
        <f aca="true" t="shared" si="32" ref="AE30:AE36">IF(AQ30="7",BI30,0)</f>
        <v>0</v>
      </c>
      <c r="AF30" s="37">
        <f aca="true" t="shared" si="33" ref="AF30:AF36">IF(AQ30="2",BH30,0)</f>
        <v>0</v>
      </c>
      <c r="AG30" s="37">
        <f aca="true" t="shared" si="34" ref="AG30:AG36">IF(AQ30="2",BI30,0)</f>
        <v>0</v>
      </c>
      <c r="AH30" s="37">
        <f aca="true" t="shared" si="35" ref="AH30:AH36">IF(AQ30="0",BJ30,0)</f>
        <v>0</v>
      </c>
      <c r="AI30" s="28" t="s">
        <v>71</v>
      </c>
      <c r="AJ30" s="19">
        <f aca="true" t="shared" si="36" ref="AJ30:AJ36">IF(AN30=0,J30,0)</f>
        <v>0</v>
      </c>
      <c r="AK30" s="19">
        <f aca="true" t="shared" si="37" ref="AK30:AK36">IF(AN30=15,J30,0)</f>
        <v>0</v>
      </c>
      <c r="AL30" s="19">
        <f aca="true" t="shared" si="38" ref="AL30:AL36">IF(AN30=21,J30,0)</f>
        <v>0</v>
      </c>
      <c r="AN30" s="37">
        <v>21</v>
      </c>
      <c r="AO30" s="37">
        <f>G30*0.85315431078943</f>
        <v>0</v>
      </c>
      <c r="AP30" s="37">
        <f>G30*(1-0.85315431078943)</f>
        <v>0</v>
      </c>
      <c r="AQ30" s="32" t="s">
        <v>13</v>
      </c>
      <c r="AV30" s="37">
        <f aca="true" t="shared" si="39" ref="AV30:AV36">AW30+AX30</f>
        <v>0</v>
      </c>
      <c r="AW30" s="37">
        <f aca="true" t="shared" si="40" ref="AW30:AW36">F30*AO30</f>
        <v>0</v>
      </c>
      <c r="AX30" s="37">
        <f aca="true" t="shared" si="41" ref="AX30:AX36">F30*AP30</f>
        <v>0</v>
      </c>
      <c r="AY30" s="38" t="s">
        <v>287</v>
      </c>
      <c r="AZ30" s="38" t="s">
        <v>303</v>
      </c>
      <c r="BA30" s="28" t="s">
        <v>312</v>
      </c>
      <c r="BC30" s="37">
        <f aca="true" t="shared" si="42" ref="BC30:BC36">AW30+AX30</f>
        <v>0</v>
      </c>
      <c r="BD30" s="37">
        <f aca="true" t="shared" si="43" ref="BD30:BD36">G30/(100-BE30)*100</f>
        <v>0</v>
      </c>
      <c r="BE30" s="37">
        <v>0</v>
      </c>
      <c r="BF30" s="37">
        <f aca="true" t="shared" si="44" ref="BF30:BF36">L30</f>
        <v>0.0065</v>
      </c>
      <c r="BH30" s="19">
        <f aca="true" t="shared" si="45" ref="BH30:BH36">F30*AO30</f>
        <v>0</v>
      </c>
      <c r="BI30" s="19">
        <f aca="true" t="shared" si="46" ref="BI30:BI36">F30*AP30</f>
        <v>0</v>
      </c>
      <c r="BJ30" s="19">
        <f aca="true" t="shared" si="47" ref="BJ30:BJ36">F30*G30</f>
        <v>0</v>
      </c>
    </row>
    <row r="31" spans="1:62" ht="12.75">
      <c r="A31" s="5" t="s">
        <v>20</v>
      </c>
      <c r="B31" s="5" t="s">
        <v>71</v>
      </c>
      <c r="C31" s="5" t="s">
        <v>95</v>
      </c>
      <c r="D31" s="5" t="s">
        <v>176</v>
      </c>
      <c r="E31" s="5" t="s">
        <v>248</v>
      </c>
      <c r="F31" s="19">
        <v>1</v>
      </c>
      <c r="G31" s="19">
        <v>0</v>
      </c>
      <c r="H31" s="19">
        <f t="shared" si="24"/>
        <v>0</v>
      </c>
      <c r="I31" s="19">
        <f t="shared" si="25"/>
        <v>0</v>
      </c>
      <c r="J31" s="19">
        <f t="shared" si="26"/>
        <v>0</v>
      </c>
      <c r="K31" s="19">
        <v>0.00135</v>
      </c>
      <c r="L31" s="19">
        <f t="shared" si="27"/>
        <v>0.00135</v>
      </c>
      <c r="M31" s="32" t="s">
        <v>272</v>
      </c>
      <c r="Z31" s="37">
        <f t="shared" si="28"/>
        <v>0</v>
      </c>
      <c r="AB31" s="37">
        <f t="shared" si="29"/>
        <v>0</v>
      </c>
      <c r="AC31" s="37">
        <f t="shared" si="30"/>
        <v>0</v>
      </c>
      <c r="AD31" s="37">
        <f t="shared" si="31"/>
        <v>0</v>
      </c>
      <c r="AE31" s="37">
        <f t="shared" si="32"/>
        <v>0</v>
      </c>
      <c r="AF31" s="37">
        <f t="shared" si="33"/>
        <v>0</v>
      </c>
      <c r="AG31" s="37">
        <f t="shared" si="34"/>
        <v>0</v>
      </c>
      <c r="AH31" s="37">
        <f t="shared" si="35"/>
        <v>0</v>
      </c>
      <c r="AI31" s="28" t="s">
        <v>71</v>
      </c>
      <c r="AJ31" s="19">
        <f t="shared" si="36"/>
        <v>0</v>
      </c>
      <c r="AK31" s="19">
        <f t="shared" si="37"/>
        <v>0</v>
      </c>
      <c r="AL31" s="19">
        <f t="shared" si="38"/>
        <v>0</v>
      </c>
      <c r="AN31" s="37">
        <v>21</v>
      </c>
      <c r="AO31" s="37">
        <f>G31*0.493741355463347</f>
        <v>0</v>
      </c>
      <c r="AP31" s="37">
        <f>G31*(1-0.493741355463347)</f>
        <v>0</v>
      </c>
      <c r="AQ31" s="32" t="s">
        <v>13</v>
      </c>
      <c r="AV31" s="37">
        <f t="shared" si="39"/>
        <v>0</v>
      </c>
      <c r="AW31" s="37">
        <f t="shared" si="40"/>
        <v>0</v>
      </c>
      <c r="AX31" s="37">
        <f t="shared" si="41"/>
        <v>0</v>
      </c>
      <c r="AY31" s="38" t="s">
        <v>287</v>
      </c>
      <c r="AZ31" s="38" t="s">
        <v>303</v>
      </c>
      <c r="BA31" s="28" t="s">
        <v>312</v>
      </c>
      <c r="BC31" s="37">
        <f t="shared" si="42"/>
        <v>0</v>
      </c>
      <c r="BD31" s="37">
        <f t="shared" si="43"/>
        <v>0</v>
      </c>
      <c r="BE31" s="37">
        <v>0</v>
      </c>
      <c r="BF31" s="37">
        <f t="shared" si="44"/>
        <v>0.00135</v>
      </c>
      <c r="BH31" s="19">
        <f t="shared" si="45"/>
        <v>0</v>
      </c>
      <c r="BI31" s="19">
        <f t="shared" si="46"/>
        <v>0</v>
      </c>
      <c r="BJ31" s="19">
        <f t="shared" si="47"/>
        <v>0</v>
      </c>
    </row>
    <row r="32" spans="1:62" ht="12.75">
      <c r="A32" s="5" t="s">
        <v>21</v>
      </c>
      <c r="B32" s="5" t="s">
        <v>71</v>
      </c>
      <c r="C32" s="5" t="s">
        <v>96</v>
      </c>
      <c r="D32" s="5" t="s">
        <v>177</v>
      </c>
      <c r="E32" s="5" t="s">
        <v>246</v>
      </c>
      <c r="F32" s="19">
        <v>4</v>
      </c>
      <c r="G32" s="19">
        <v>0</v>
      </c>
      <c r="H32" s="19">
        <f t="shared" si="24"/>
        <v>0</v>
      </c>
      <c r="I32" s="19">
        <f t="shared" si="25"/>
        <v>0</v>
      </c>
      <c r="J32" s="19">
        <f t="shared" si="26"/>
        <v>0</v>
      </c>
      <c r="K32" s="19">
        <v>0.00019</v>
      </c>
      <c r="L32" s="19">
        <f t="shared" si="27"/>
        <v>0.00076</v>
      </c>
      <c r="M32" s="32" t="s">
        <v>272</v>
      </c>
      <c r="Z32" s="37">
        <f t="shared" si="28"/>
        <v>0</v>
      </c>
      <c r="AB32" s="37">
        <f t="shared" si="29"/>
        <v>0</v>
      </c>
      <c r="AC32" s="37">
        <f t="shared" si="30"/>
        <v>0</v>
      </c>
      <c r="AD32" s="37">
        <f t="shared" si="31"/>
        <v>0</v>
      </c>
      <c r="AE32" s="37">
        <f t="shared" si="32"/>
        <v>0</v>
      </c>
      <c r="AF32" s="37">
        <f t="shared" si="33"/>
        <v>0</v>
      </c>
      <c r="AG32" s="37">
        <f t="shared" si="34"/>
        <v>0</v>
      </c>
      <c r="AH32" s="37">
        <f t="shared" si="35"/>
        <v>0</v>
      </c>
      <c r="AI32" s="28" t="s">
        <v>71</v>
      </c>
      <c r="AJ32" s="19">
        <f t="shared" si="36"/>
        <v>0</v>
      </c>
      <c r="AK32" s="19">
        <f t="shared" si="37"/>
        <v>0</v>
      </c>
      <c r="AL32" s="19">
        <f t="shared" si="38"/>
        <v>0</v>
      </c>
      <c r="AN32" s="37">
        <v>21</v>
      </c>
      <c r="AO32" s="37">
        <f>G32*0.823813747228381</f>
        <v>0</v>
      </c>
      <c r="AP32" s="37">
        <f>G32*(1-0.823813747228381)</f>
        <v>0</v>
      </c>
      <c r="AQ32" s="32" t="s">
        <v>13</v>
      </c>
      <c r="AV32" s="37">
        <f t="shared" si="39"/>
        <v>0</v>
      </c>
      <c r="AW32" s="37">
        <f t="shared" si="40"/>
        <v>0</v>
      </c>
      <c r="AX32" s="37">
        <f t="shared" si="41"/>
        <v>0</v>
      </c>
      <c r="AY32" s="38" t="s">
        <v>287</v>
      </c>
      <c r="AZ32" s="38" t="s">
        <v>303</v>
      </c>
      <c r="BA32" s="28" t="s">
        <v>312</v>
      </c>
      <c r="BC32" s="37">
        <f t="shared" si="42"/>
        <v>0</v>
      </c>
      <c r="BD32" s="37">
        <f t="shared" si="43"/>
        <v>0</v>
      </c>
      <c r="BE32" s="37">
        <v>0</v>
      </c>
      <c r="BF32" s="37">
        <f t="shared" si="44"/>
        <v>0.00076</v>
      </c>
      <c r="BH32" s="19">
        <f t="shared" si="45"/>
        <v>0</v>
      </c>
      <c r="BI32" s="19">
        <f t="shared" si="46"/>
        <v>0</v>
      </c>
      <c r="BJ32" s="19">
        <f t="shared" si="47"/>
        <v>0</v>
      </c>
    </row>
    <row r="33" spans="1:62" ht="12.75">
      <c r="A33" s="5" t="s">
        <v>22</v>
      </c>
      <c r="B33" s="5" t="s">
        <v>71</v>
      </c>
      <c r="C33" s="5" t="s">
        <v>97</v>
      </c>
      <c r="D33" s="5" t="s">
        <v>178</v>
      </c>
      <c r="E33" s="5" t="s">
        <v>246</v>
      </c>
      <c r="F33" s="19">
        <v>4</v>
      </c>
      <c r="G33" s="19">
        <v>0</v>
      </c>
      <c r="H33" s="19">
        <f t="shared" si="24"/>
        <v>0</v>
      </c>
      <c r="I33" s="19">
        <f t="shared" si="25"/>
        <v>0</v>
      </c>
      <c r="J33" s="19">
        <f t="shared" si="26"/>
        <v>0</v>
      </c>
      <c r="K33" s="19">
        <v>0.0001</v>
      </c>
      <c r="L33" s="19">
        <f t="shared" si="27"/>
        <v>0.0004</v>
      </c>
      <c r="M33" s="32" t="s">
        <v>272</v>
      </c>
      <c r="Z33" s="37">
        <f t="shared" si="28"/>
        <v>0</v>
      </c>
      <c r="AB33" s="37">
        <f t="shared" si="29"/>
        <v>0</v>
      </c>
      <c r="AC33" s="37">
        <f t="shared" si="30"/>
        <v>0</v>
      </c>
      <c r="AD33" s="37">
        <f t="shared" si="31"/>
        <v>0</v>
      </c>
      <c r="AE33" s="37">
        <f t="shared" si="32"/>
        <v>0</v>
      </c>
      <c r="AF33" s="37">
        <f t="shared" si="33"/>
        <v>0</v>
      </c>
      <c r="AG33" s="37">
        <f t="shared" si="34"/>
        <v>0</v>
      </c>
      <c r="AH33" s="37">
        <f t="shared" si="35"/>
        <v>0</v>
      </c>
      <c r="AI33" s="28" t="s">
        <v>71</v>
      </c>
      <c r="AJ33" s="19">
        <f t="shared" si="36"/>
        <v>0</v>
      </c>
      <c r="AK33" s="19">
        <f t="shared" si="37"/>
        <v>0</v>
      </c>
      <c r="AL33" s="19">
        <f t="shared" si="38"/>
        <v>0</v>
      </c>
      <c r="AN33" s="37">
        <v>21</v>
      </c>
      <c r="AO33" s="37">
        <f>G33*0.867795100222717</f>
        <v>0</v>
      </c>
      <c r="AP33" s="37">
        <f>G33*(1-0.867795100222717)</f>
        <v>0</v>
      </c>
      <c r="AQ33" s="32" t="s">
        <v>13</v>
      </c>
      <c r="AV33" s="37">
        <f t="shared" si="39"/>
        <v>0</v>
      </c>
      <c r="AW33" s="37">
        <f t="shared" si="40"/>
        <v>0</v>
      </c>
      <c r="AX33" s="37">
        <f t="shared" si="41"/>
        <v>0</v>
      </c>
      <c r="AY33" s="38" t="s">
        <v>287</v>
      </c>
      <c r="AZ33" s="38" t="s">
        <v>303</v>
      </c>
      <c r="BA33" s="28" t="s">
        <v>312</v>
      </c>
      <c r="BC33" s="37">
        <f t="shared" si="42"/>
        <v>0</v>
      </c>
      <c r="BD33" s="37">
        <f t="shared" si="43"/>
        <v>0</v>
      </c>
      <c r="BE33" s="37">
        <v>0</v>
      </c>
      <c r="BF33" s="37">
        <f t="shared" si="44"/>
        <v>0.0004</v>
      </c>
      <c r="BH33" s="19">
        <f t="shared" si="45"/>
        <v>0</v>
      </c>
      <c r="BI33" s="19">
        <f t="shared" si="46"/>
        <v>0</v>
      </c>
      <c r="BJ33" s="19">
        <f t="shared" si="47"/>
        <v>0</v>
      </c>
    </row>
    <row r="34" spans="1:62" ht="12.75">
      <c r="A34" s="5" t="s">
        <v>23</v>
      </c>
      <c r="B34" s="5" t="s">
        <v>71</v>
      </c>
      <c r="C34" s="5" t="s">
        <v>98</v>
      </c>
      <c r="D34" s="5" t="s">
        <v>179</v>
      </c>
      <c r="E34" s="5" t="s">
        <v>246</v>
      </c>
      <c r="F34" s="19">
        <v>8</v>
      </c>
      <c r="G34" s="19">
        <v>0</v>
      </c>
      <c r="H34" s="19">
        <f t="shared" si="24"/>
        <v>0</v>
      </c>
      <c r="I34" s="19">
        <f t="shared" si="25"/>
        <v>0</v>
      </c>
      <c r="J34" s="19">
        <f t="shared" si="26"/>
        <v>0</v>
      </c>
      <c r="K34" s="19">
        <v>0.00024</v>
      </c>
      <c r="L34" s="19">
        <f t="shared" si="27"/>
        <v>0.00192</v>
      </c>
      <c r="M34" s="32" t="s">
        <v>272</v>
      </c>
      <c r="Z34" s="37">
        <f t="shared" si="28"/>
        <v>0</v>
      </c>
      <c r="AB34" s="37">
        <f t="shared" si="29"/>
        <v>0</v>
      </c>
      <c r="AC34" s="37">
        <f t="shared" si="30"/>
        <v>0</v>
      </c>
      <c r="AD34" s="37">
        <f t="shared" si="31"/>
        <v>0</v>
      </c>
      <c r="AE34" s="37">
        <f t="shared" si="32"/>
        <v>0</v>
      </c>
      <c r="AF34" s="37">
        <f t="shared" si="33"/>
        <v>0</v>
      </c>
      <c r="AG34" s="37">
        <f t="shared" si="34"/>
        <v>0</v>
      </c>
      <c r="AH34" s="37">
        <f t="shared" si="35"/>
        <v>0</v>
      </c>
      <c r="AI34" s="28" t="s">
        <v>71</v>
      </c>
      <c r="AJ34" s="19">
        <f t="shared" si="36"/>
        <v>0</v>
      </c>
      <c r="AK34" s="19">
        <f t="shared" si="37"/>
        <v>0</v>
      </c>
      <c r="AL34" s="19">
        <f t="shared" si="38"/>
        <v>0</v>
      </c>
      <c r="AN34" s="37">
        <v>21</v>
      </c>
      <c r="AO34" s="37">
        <f>G34*0.235421052631579</f>
        <v>0</v>
      </c>
      <c r="AP34" s="37">
        <f>G34*(1-0.235421052631579)</f>
        <v>0</v>
      </c>
      <c r="AQ34" s="32" t="s">
        <v>13</v>
      </c>
      <c r="AV34" s="37">
        <f t="shared" si="39"/>
        <v>0</v>
      </c>
      <c r="AW34" s="37">
        <f t="shared" si="40"/>
        <v>0</v>
      </c>
      <c r="AX34" s="37">
        <f t="shared" si="41"/>
        <v>0</v>
      </c>
      <c r="AY34" s="38" t="s">
        <v>287</v>
      </c>
      <c r="AZ34" s="38" t="s">
        <v>303</v>
      </c>
      <c r="BA34" s="28" t="s">
        <v>312</v>
      </c>
      <c r="BC34" s="37">
        <f t="shared" si="42"/>
        <v>0</v>
      </c>
      <c r="BD34" s="37">
        <f t="shared" si="43"/>
        <v>0</v>
      </c>
      <c r="BE34" s="37">
        <v>0</v>
      </c>
      <c r="BF34" s="37">
        <f t="shared" si="44"/>
        <v>0.00192</v>
      </c>
      <c r="BH34" s="19">
        <f t="shared" si="45"/>
        <v>0</v>
      </c>
      <c r="BI34" s="19">
        <f t="shared" si="46"/>
        <v>0</v>
      </c>
      <c r="BJ34" s="19">
        <f t="shared" si="47"/>
        <v>0</v>
      </c>
    </row>
    <row r="35" spans="1:62" ht="12.75">
      <c r="A35" s="5" t="s">
        <v>24</v>
      </c>
      <c r="B35" s="5" t="s">
        <v>71</v>
      </c>
      <c r="C35" s="5" t="s">
        <v>99</v>
      </c>
      <c r="D35" s="5" t="s">
        <v>180</v>
      </c>
      <c r="E35" s="5" t="s">
        <v>246</v>
      </c>
      <c r="F35" s="19">
        <v>2</v>
      </c>
      <c r="G35" s="19">
        <v>0</v>
      </c>
      <c r="H35" s="19">
        <f t="shared" si="24"/>
        <v>0</v>
      </c>
      <c r="I35" s="19">
        <f t="shared" si="25"/>
        <v>0</v>
      </c>
      <c r="J35" s="19">
        <f t="shared" si="26"/>
        <v>0</v>
      </c>
      <c r="K35" s="19">
        <v>0.00042</v>
      </c>
      <c r="L35" s="19">
        <f t="shared" si="27"/>
        <v>0.00084</v>
      </c>
      <c r="M35" s="32" t="s">
        <v>272</v>
      </c>
      <c r="Z35" s="37">
        <f t="shared" si="28"/>
        <v>0</v>
      </c>
      <c r="AB35" s="37">
        <f t="shared" si="29"/>
        <v>0</v>
      </c>
      <c r="AC35" s="37">
        <f t="shared" si="30"/>
        <v>0</v>
      </c>
      <c r="AD35" s="37">
        <f t="shared" si="31"/>
        <v>0</v>
      </c>
      <c r="AE35" s="37">
        <f t="shared" si="32"/>
        <v>0</v>
      </c>
      <c r="AF35" s="37">
        <f t="shared" si="33"/>
        <v>0</v>
      </c>
      <c r="AG35" s="37">
        <f t="shared" si="34"/>
        <v>0</v>
      </c>
      <c r="AH35" s="37">
        <f t="shared" si="35"/>
        <v>0</v>
      </c>
      <c r="AI35" s="28" t="s">
        <v>71</v>
      </c>
      <c r="AJ35" s="19">
        <f t="shared" si="36"/>
        <v>0</v>
      </c>
      <c r="AK35" s="19">
        <f t="shared" si="37"/>
        <v>0</v>
      </c>
      <c r="AL35" s="19">
        <f t="shared" si="38"/>
        <v>0</v>
      </c>
      <c r="AN35" s="37">
        <v>21</v>
      </c>
      <c r="AO35" s="37">
        <f>G35*0.29182054188453</f>
        <v>0</v>
      </c>
      <c r="AP35" s="37">
        <f>G35*(1-0.29182054188453)</f>
        <v>0</v>
      </c>
      <c r="AQ35" s="32" t="s">
        <v>13</v>
      </c>
      <c r="AV35" s="37">
        <f t="shared" si="39"/>
        <v>0</v>
      </c>
      <c r="AW35" s="37">
        <f t="shared" si="40"/>
        <v>0</v>
      </c>
      <c r="AX35" s="37">
        <f t="shared" si="41"/>
        <v>0</v>
      </c>
      <c r="AY35" s="38" t="s">
        <v>287</v>
      </c>
      <c r="AZ35" s="38" t="s">
        <v>303</v>
      </c>
      <c r="BA35" s="28" t="s">
        <v>312</v>
      </c>
      <c r="BC35" s="37">
        <f t="shared" si="42"/>
        <v>0</v>
      </c>
      <c r="BD35" s="37">
        <f t="shared" si="43"/>
        <v>0</v>
      </c>
      <c r="BE35" s="37">
        <v>0</v>
      </c>
      <c r="BF35" s="37">
        <f t="shared" si="44"/>
        <v>0.00084</v>
      </c>
      <c r="BH35" s="19">
        <f t="shared" si="45"/>
        <v>0</v>
      </c>
      <c r="BI35" s="19">
        <f t="shared" si="46"/>
        <v>0</v>
      </c>
      <c r="BJ35" s="19">
        <f t="shared" si="47"/>
        <v>0</v>
      </c>
    </row>
    <row r="36" spans="1:62" ht="12.75">
      <c r="A36" s="5" t="s">
        <v>25</v>
      </c>
      <c r="B36" s="5" t="s">
        <v>71</v>
      </c>
      <c r="C36" s="5" t="s">
        <v>100</v>
      </c>
      <c r="D36" s="5" t="s">
        <v>181</v>
      </c>
      <c r="E36" s="5" t="s">
        <v>246</v>
      </c>
      <c r="F36" s="19">
        <v>8</v>
      </c>
      <c r="G36" s="19">
        <v>0</v>
      </c>
      <c r="H36" s="19">
        <f t="shared" si="24"/>
        <v>0</v>
      </c>
      <c r="I36" s="19">
        <f t="shared" si="25"/>
        <v>0</v>
      </c>
      <c r="J36" s="19">
        <f t="shared" si="26"/>
        <v>0</v>
      </c>
      <c r="K36" s="19">
        <v>0.00051</v>
      </c>
      <c r="L36" s="19">
        <f t="shared" si="27"/>
        <v>0.00408</v>
      </c>
      <c r="M36" s="32" t="s">
        <v>272</v>
      </c>
      <c r="Z36" s="37">
        <f t="shared" si="28"/>
        <v>0</v>
      </c>
      <c r="AB36" s="37">
        <f t="shared" si="29"/>
        <v>0</v>
      </c>
      <c r="AC36" s="37">
        <f t="shared" si="30"/>
        <v>0</v>
      </c>
      <c r="AD36" s="37">
        <f t="shared" si="31"/>
        <v>0</v>
      </c>
      <c r="AE36" s="37">
        <f t="shared" si="32"/>
        <v>0</v>
      </c>
      <c r="AF36" s="37">
        <f t="shared" si="33"/>
        <v>0</v>
      </c>
      <c r="AG36" s="37">
        <f t="shared" si="34"/>
        <v>0</v>
      </c>
      <c r="AH36" s="37">
        <f t="shared" si="35"/>
        <v>0</v>
      </c>
      <c r="AI36" s="28" t="s">
        <v>71</v>
      </c>
      <c r="AJ36" s="19">
        <f t="shared" si="36"/>
        <v>0</v>
      </c>
      <c r="AK36" s="19">
        <f t="shared" si="37"/>
        <v>0</v>
      </c>
      <c r="AL36" s="19">
        <f t="shared" si="38"/>
        <v>0</v>
      </c>
      <c r="AN36" s="37">
        <v>21</v>
      </c>
      <c r="AO36" s="37">
        <f>G36*0.294900152652731</f>
        <v>0</v>
      </c>
      <c r="AP36" s="37">
        <f>G36*(1-0.294900152652731)</f>
        <v>0</v>
      </c>
      <c r="AQ36" s="32" t="s">
        <v>13</v>
      </c>
      <c r="AV36" s="37">
        <f t="shared" si="39"/>
        <v>0</v>
      </c>
      <c r="AW36" s="37">
        <f t="shared" si="40"/>
        <v>0</v>
      </c>
      <c r="AX36" s="37">
        <f t="shared" si="41"/>
        <v>0</v>
      </c>
      <c r="AY36" s="38" t="s">
        <v>287</v>
      </c>
      <c r="AZ36" s="38" t="s">
        <v>303</v>
      </c>
      <c r="BA36" s="28" t="s">
        <v>312</v>
      </c>
      <c r="BC36" s="37">
        <f t="shared" si="42"/>
        <v>0</v>
      </c>
      <c r="BD36" s="37">
        <f t="shared" si="43"/>
        <v>0</v>
      </c>
      <c r="BE36" s="37">
        <v>0</v>
      </c>
      <c r="BF36" s="37">
        <f t="shared" si="44"/>
        <v>0.00408</v>
      </c>
      <c r="BH36" s="19">
        <f t="shared" si="45"/>
        <v>0</v>
      </c>
      <c r="BI36" s="19">
        <f t="shared" si="46"/>
        <v>0</v>
      </c>
      <c r="BJ36" s="19">
        <f t="shared" si="47"/>
        <v>0</v>
      </c>
    </row>
    <row r="37" spans="1:47" ht="12.75">
      <c r="A37" s="4"/>
      <c r="B37" s="14" t="s">
        <v>71</v>
      </c>
      <c r="C37" s="14" t="s">
        <v>101</v>
      </c>
      <c r="D37" s="14" t="s">
        <v>182</v>
      </c>
      <c r="E37" s="4" t="s">
        <v>6</v>
      </c>
      <c r="F37" s="4" t="s">
        <v>6</v>
      </c>
      <c r="G37" s="4" t="s">
        <v>6</v>
      </c>
      <c r="H37" s="40">
        <f>SUM(H38:H39)</f>
        <v>0</v>
      </c>
      <c r="I37" s="40">
        <f>SUM(I38:I39)</f>
        <v>0</v>
      </c>
      <c r="J37" s="40">
        <f>SUM(J38:J39)</f>
        <v>0</v>
      </c>
      <c r="K37" s="28"/>
      <c r="L37" s="40">
        <f>SUM(L38:L39)</f>
        <v>0.0168</v>
      </c>
      <c r="M37" s="28"/>
      <c r="AI37" s="28" t="s">
        <v>71</v>
      </c>
      <c r="AS37" s="40">
        <f>SUM(AJ38:AJ39)</f>
        <v>0</v>
      </c>
      <c r="AT37" s="40">
        <f>SUM(AK38:AK39)</f>
        <v>0</v>
      </c>
      <c r="AU37" s="40">
        <f>SUM(AL38:AL39)</f>
        <v>0</v>
      </c>
    </row>
    <row r="38" spans="1:62" ht="12.75">
      <c r="A38" s="5" t="s">
        <v>26</v>
      </c>
      <c r="B38" s="5" t="s">
        <v>71</v>
      </c>
      <c r="C38" s="5" t="s">
        <v>102</v>
      </c>
      <c r="D38" s="5" t="s">
        <v>183</v>
      </c>
      <c r="E38" s="5" t="s">
        <v>249</v>
      </c>
      <c r="F38" s="19">
        <v>32</v>
      </c>
      <c r="G38" s="19">
        <v>0</v>
      </c>
      <c r="H38" s="19">
        <f>F38*AO38</f>
        <v>0</v>
      </c>
      <c r="I38" s="19">
        <f>F38*AP38</f>
        <v>0</v>
      </c>
      <c r="J38" s="19">
        <f>F38*G38</f>
        <v>0</v>
      </c>
      <c r="K38" s="19">
        <v>0.0003</v>
      </c>
      <c r="L38" s="19">
        <f>F38*K38</f>
        <v>0.0096</v>
      </c>
      <c r="M38" s="32" t="s">
        <v>272</v>
      </c>
      <c r="Z38" s="37">
        <f>IF(AQ38="5",BJ38,0)</f>
        <v>0</v>
      </c>
      <c r="AB38" s="37">
        <f>IF(AQ38="1",BH38,0)</f>
        <v>0</v>
      </c>
      <c r="AC38" s="37">
        <f>IF(AQ38="1",BI38,0)</f>
        <v>0</v>
      </c>
      <c r="AD38" s="37">
        <f>IF(AQ38="7",BH38,0)</f>
        <v>0</v>
      </c>
      <c r="AE38" s="37">
        <f>IF(AQ38="7",BI38,0)</f>
        <v>0</v>
      </c>
      <c r="AF38" s="37">
        <f>IF(AQ38="2",BH38,0)</f>
        <v>0</v>
      </c>
      <c r="AG38" s="37">
        <f>IF(AQ38="2",BI38,0)</f>
        <v>0</v>
      </c>
      <c r="AH38" s="37">
        <f>IF(AQ38="0",BJ38,0)</f>
        <v>0</v>
      </c>
      <c r="AI38" s="28" t="s">
        <v>71</v>
      </c>
      <c r="AJ38" s="19">
        <f>IF(AN38=0,J38,0)</f>
        <v>0</v>
      </c>
      <c r="AK38" s="19">
        <f>IF(AN38=15,J38,0)</f>
        <v>0</v>
      </c>
      <c r="AL38" s="19">
        <f>IF(AN38=21,J38,0)</f>
        <v>0</v>
      </c>
      <c r="AN38" s="37">
        <v>21</v>
      </c>
      <c r="AO38" s="37">
        <f>G38*0.364230705302233</f>
        <v>0</v>
      </c>
      <c r="AP38" s="37">
        <f>G38*(1-0.364230705302233)</f>
        <v>0</v>
      </c>
      <c r="AQ38" s="32" t="s">
        <v>13</v>
      </c>
      <c r="AV38" s="37">
        <f>AW38+AX38</f>
        <v>0</v>
      </c>
      <c r="AW38" s="37">
        <f>F38*AO38</f>
        <v>0</v>
      </c>
      <c r="AX38" s="37">
        <f>F38*AP38</f>
        <v>0</v>
      </c>
      <c r="AY38" s="38" t="s">
        <v>288</v>
      </c>
      <c r="AZ38" s="38" t="s">
        <v>304</v>
      </c>
      <c r="BA38" s="28" t="s">
        <v>312</v>
      </c>
      <c r="BC38" s="37">
        <f>AW38+AX38</f>
        <v>0</v>
      </c>
      <c r="BD38" s="37">
        <f>G38/(100-BE38)*100</f>
        <v>0</v>
      </c>
      <c r="BE38" s="37">
        <v>0</v>
      </c>
      <c r="BF38" s="37">
        <f>L38</f>
        <v>0.0096</v>
      </c>
      <c r="BH38" s="19">
        <f>F38*AO38</f>
        <v>0</v>
      </c>
      <c r="BI38" s="19">
        <f>F38*AP38</f>
        <v>0</v>
      </c>
      <c r="BJ38" s="19">
        <f>F38*G38</f>
        <v>0</v>
      </c>
    </row>
    <row r="39" spans="1:62" ht="12.75">
      <c r="A39" s="5" t="s">
        <v>27</v>
      </c>
      <c r="B39" s="5" t="s">
        <v>71</v>
      </c>
      <c r="C39" s="5" t="s">
        <v>103</v>
      </c>
      <c r="D39" s="5" t="s">
        <v>184</v>
      </c>
      <c r="E39" s="5" t="s">
        <v>249</v>
      </c>
      <c r="F39" s="19">
        <v>24</v>
      </c>
      <c r="G39" s="19">
        <v>0</v>
      </c>
      <c r="H39" s="19">
        <f>F39*AO39</f>
        <v>0</v>
      </c>
      <c r="I39" s="19">
        <f>F39*AP39</f>
        <v>0</v>
      </c>
      <c r="J39" s="19">
        <f>F39*G39</f>
        <v>0</v>
      </c>
      <c r="K39" s="19">
        <v>0.0003</v>
      </c>
      <c r="L39" s="19">
        <f>F39*K39</f>
        <v>0.0072</v>
      </c>
      <c r="M39" s="32" t="s">
        <v>272</v>
      </c>
      <c r="Z39" s="37">
        <f>IF(AQ39="5",BJ39,0)</f>
        <v>0</v>
      </c>
      <c r="AB39" s="37">
        <f>IF(AQ39="1",BH39,0)</f>
        <v>0</v>
      </c>
      <c r="AC39" s="37">
        <f>IF(AQ39="1",BI39,0)</f>
        <v>0</v>
      </c>
      <c r="AD39" s="37">
        <f>IF(AQ39="7",BH39,0)</f>
        <v>0</v>
      </c>
      <c r="AE39" s="37">
        <f>IF(AQ39="7",BI39,0)</f>
        <v>0</v>
      </c>
      <c r="AF39" s="37">
        <f>IF(AQ39="2",BH39,0)</f>
        <v>0</v>
      </c>
      <c r="AG39" s="37">
        <f>IF(AQ39="2",BI39,0)</f>
        <v>0</v>
      </c>
      <c r="AH39" s="37">
        <f>IF(AQ39="0",BJ39,0)</f>
        <v>0</v>
      </c>
      <c r="AI39" s="28" t="s">
        <v>71</v>
      </c>
      <c r="AJ39" s="19">
        <f>IF(AN39=0,J39,0)</f>
        <v>0</v>
      </c>
      <c r="AK39" s="19">
        <f>IF(AN39=15,J39,0)</f>
        <v>0</v>
      </c>
      <c r="AL39" s="19">
        <f>IF(AN39=21,J39,0)</f>
        <v>0</v>
      </c>
      <c r="AN39" s="37">
        <v>21</v>
      </c>
      <c r="AO39" s="37">
        <f>G39*0.17300888150769</f>
        <v>0</v>
      </c>
      <c r="AP39" s="37">
        <f>G39*(1-0.17300888150769)</f>
        <v>0</v>
      </c>
      <c r="AQ39" s="32" t="s">
        <v>13</v>
      </c>
      <c r="AV39" s="37">
        <f>AW39+AX39</f>
        <v>0</v>
      </c>
      <c r="AW39" s="37">
        <f>F39*AO39</f>
        <v>0</v>
      </c>
      <c r="AX39" s="37">
        <f>F39*AP39</f>
        <v>0</v>
      </c>
      <c r="AY39" s="38" t="s">
        <v>288</v>
      </c>
      <c r="AZ39" s="38" t="s">
        <v>304</v>
      </c>
      <c r="BA39" s="28" t="s">
        <v>312</v>
      </c>
      <c r="BC39" s="37">
        <f>AW39+AX39</f>
        <v>0</v>
      </c>
      <c r="BD39" s="37">
        <f>G39/(100-BE39)*100</f>
        <v>0</v>
      </c>
      <c r="BE39" s="37">
        <v>0</v>
      </c>
      <c r="BF39" s="37">
        <f>L39</f>
        <v>0.0072</v>
      </c>
      <c r="BH39" s="19">
        <f>F39*AO39</f>
        <v>0</v>
      </c>
      <c r="BI39" s="19">
        <f>F39*AP39</f>
        <v>0</v>
      </c>
      <c r="BJ39" s="19">
        <f>F39*G39</f>
        <v>0</v>
      </c>
    </row>
    <row r="40" spans="1:47" ht="12.75">
      <c r="A40" s="4"/>
      <c r="B40" s="14" t="s">
        <v>71</v>
      </c>
      <c r="C40" s="14" t="s">
        <v>104</v>
      </c>
      <c r="D40" s="14" t="s">
        <v>185</v>
      </c>
      <c r="E40" s="4" t="s">
        <v>6</v>
      </c>
      <c r="F40" s="4" t="s">
        <v>6</v>
      </c>
      <c r="G40" s="4" t="s">
        <v>6</v>
      </c>
      <c r="H40" s="40">
        <f>SUM(H41:H41)</f>
        <v>0</v>
      </c>
      <c r="I40" s="40">
        <f>SUM(I41:I41)</f>
        <v>0</v>
      </c>
      <c r="J40" s="40">
        <f>SUM(J41:J41)</f>
        <v>0</v>
      </c>
      <c r="K40" s="28"/>
      <c r="L40" s="40">
        <f>SUM(L41:L41)</f>
        <v>0.00873</v>
      </c>
      <c r="M40" s="28"/>
      <c r="AI40" s="28" t="s">
        <v>71</v>
      </c>
      <c r="AS40" s="40">
        <f>SUM(AJ41:AJ41)</f>
        <v>0</v>
      </c>
      <c r="AT40" s="40">
        <f>SUM(AK41:AK41)</f>
        <v>0</v>
      </c>
      <c r="AU40" s="40">
        <f>SUM(AL41:AL41)</f>
        <v>0</v>
      </c>
    </row>
    <row r="41" spans="1:62" ht="12.75">
      <c r="A41" s="5" t="s">
        <v>28</v>
      </c>
      <c r="B41" s="5" t="s">
        <v>71</v>
      </c>
      <c r="C41" s="5" t="s">
        <v>105</v>
      </c>
      <c r="D41" s="5" t="s">
        <v>186</v>
      </c>
      <c r="E41" s="5" t="s">
        <v>245</v>
      </c>
      <c r="F41" s="19">
        <v>97</v>
      </c>
      <c r="G41" s="19">
        <v>0</v>
      </c>
      <c r="H41" s="19">
        <f>F41*AO41</f>
        <v>0</v>
      </c>
      <c r="I41" s="19">
        <f>F41*AP41</f>
        <v>0</v>
      </c>
      <c r="J41" s="19">
        <f>F41*G41</f>
        <v>0</v>
      </c>
      <c r="K41" s="19">
        <v>9E-05</v>
      </c>
      <c r="L41" s="19">
        <f>F41*K41</f>
        <v>0.00873</v>
      </c>
      <c r="M41" s="32" t="s">
        <v>272</v>
      </c>
      <c r="Z41" s="37">
        <f>IF(AQ41="5",BJ41,0)</f>
        <v>0</v>
      </c>
      <c r="AB41" s="37">
        <f>IF(AQ41="1",BH41,0)</f>
        <v>0</v>
      </c>
      <c r="AC41" s="37">
        <f>IF(AQ41="1",BI41,0)</f>
        <v>0</v>
      </c>
      <c r="AD41" s="37">
        <f>IF(AQ41="7",BH41,0)</f>
        <v>0</v>
      </c>
      <c r="AE41" s="37">
        <f>IF(AQ41="7",BI41,0)</f>
        <v>0</v>
      </c>
      <c r="AF41" s="37">
        <f>IF(AQ41="2",BH41,0)</f>
        <v>0</v>
      </c>
      <c r="AG41" s="37">
        <f>IF(AQ41="2",BI41,0)</f>
        <v>0</v>
      </c>
      <c r="AH41" s="37">
        <f>IF(AQ41="0",BJ41,0)</f>
        <v>0</v>
      </c>
      <c r="AI41" s="28" t="s">
        <v>71</v>
      </c>
      <c r="AJ41" s="19">
        <f>IF(AN41=0,J41,0)</f>
        <v>0</v>
      </c>
      <c r="AK41" s="19">
        <f>IF(AN41=15,J41,0)</f>
        <v>0</v>
      </c>
      <c r="AL41" s="19">
        <f>IF(AN41=21,J41,0)</f>
        <v>0</v>
      </c>
      <c r="AN41" s="37">
        <v>21</v>
      </c>
      <c r="AO41" s="37">
        <f>G41*0.213714285714286</f>
        <v>0</v>
      </c>
      <c r="AP41" s="37">
        <f>G41*(1-0.213714285714286)</f>
        <v>0</v>
      </c>
      <c r="AQ41" s="32" t="s">
        <v>13</v>
      </c>
      <c r="AV41" s="37">
        <f>AW41+AX41</f>
        <v>0</v>
      </c>
      <c r="AW41" s="37">
        <f>F41*AO41</f>
        <v>0</v>
      </c>
      <c r="AX41" s="37">
        <f>F41*AP41</f>
        <v>0</v>
      </c>
      <c r="AY41" s="38" t="s">
        <v>289</v>
      </c>
      <c r="AZ41" s="38" t="s">
        <v>305</v>
      </c>
      <c r="BA41" s="28" t="s">
        <v>312</v>
      </c>
      <c r="BC41" s="37">
        <f>AW41+AX41</f>
        <v>0</v>
      </c>
      <c r="BD41" s="37">
        <f>G41/(100-BE41)*100</f>
        <v>0</v>
      </c>
      <c r="BE41" s="37">
        <v>0</v>
      </c>
      <c r="BF41" s="37">
        <f>L41</f>
        <v>0.00873</v>
      </c>
      <c r="BH41" s="19">
        <f>F41*AO41</f>
        <v>0</v>
      </c>
      <c r="BI41" s="19">
        <f>F41*AP41</f>
        <v>0</v>
      </c>
      <c r="BJ41" s="19">
        <f>F41*G41</f>
        <v>0</v>
      </c>
    </row>
    <row r="42" spans="1:47" ht="12.75">
      <c r="A42" s="4"/>
      <c r="B42" s="14" t="s">
        <v>71</v>
      </c>
      <c r="C42" s="14" t="s">
        <v>106</v>
      </c>
      <c r="D42" s="14" t="s">
        <v>187</v>
      </c>
      <c r="E42" s="4" t="s">
        <v>6</v>
      </c>
      <c r="F42" s="4" t="s">
        <v>6</v>
      </c>
      <c r="G42" s="4" t="s">
        <v>6</v>
      </c>
      <c r="H42" s="40">
        <f>SUM(H43:H45)</f>
        <v>0</v>
      </c>
      <c r="I42" s="40">
        <f>SUM(I43:I45)</f>
        <v>0</v>
      </c>
      <c r="J42" s="40">
        <f>SUM(J43:J45)</f>
        <v>0</v>
      </c>
      <c r="K42" s="28"/>
      <c r="L42" s="40">
        <f>SUM(L43:L45)</f>
        <v>0</v>
      </c>
      <c r="M42" s="28"/>
      <c r="AI42" s="28" t="s">
        <v>71</v>
      </c>
      <c r="AS42" s="40">
        <f>SUM(AJ43:AJ45)</f>
        <v>0</v>
      </c>
      <c r="AT42" s="40">
        <f>SUM(AK43:AK45)</f>
        <v>0</v>
      </c>
      <c r="AU42" s="40">
        <f>SUM(AL43:AL45)</f>
        <v>0</v>
      </c>
    </row>
    <row r="43" spans="1:62" ht="12.75">
      <c r="A43" s="5" t="s">
        <v>29</v>
      </c>
      <c r="B43" s="5" t="s">
        <v>71</v>
      </c>
      <c r="C43" s="5" t="s">
        <v>107</v>
      </c>
      <c r="D43" s="5" t="s">
        <v>188</v>
      </c>
      <c r="E43" s="5" t="s">
        <v>250</v>
      </c>
      <c r="F43" s="19">
        <v>8</v>
      </c>
      <c r="G43" s="19">
        <v>0</v>
      </c>
      <c r="H43" s="19">
        <f>F43*AO43</f>
        <v>0</v>
      </c>
      <c r="I43" s="19">
        <f>F43*AP43</f>
        <v>0</v>
      </c>
      <c r="J43" s="19">
        <f>F43*G43</f>
        <v>0</v>
      </c>
      <c r="K43" s="19">
        <v>0</v>
      </c>
      <c r="L43" s="19">
        <f>F43*K43</f>
        <v>0</v>
      </c>
      <c r="M43" s="32" t="s">
        <v>272</v>
      </c>
      <c r="Z43" s="37">
        <f>IF(AQ43="5",BJ43,0)</f>
        <v>0</v>
      </c>
      <c r="AB43" s="37">
        <f>IF(AQ43="1",BH43,0)</f>
        <v>0</v>
      </c>
      <c r="AC43" s="37">
        <f>IF(AQ43="1",BI43,0)</f>
        <v>0</v>
      </c>
      <c r="AD43" s="37">
        <f>IF(AQ43="7",BH43,0)</f>
        <v>0</v>
      </c>
      <c r="AE43" s="37">
        <f>IF(AQ43="7",BI43,0)</f>
        <v>0</v>
      </c>
      <c r="AF43" s="37">
        <f>IF(AQ43="2",BH43,0)</f>
        <v>0</v>
      </c>
      <c r="AG43" s="37">
        <f>IF(AQ43="2",BI43,0)</f>
        <v>0</v>
      </c>
      <c r="AH43" s="37">
        <f>IF(AQ43="0",BJ43,0)</f>
        <v>0</v>
      </c>
      <c r="AI43" s="28" t="s">
        <v>71</v>
      </c>
      <c r="AJ43" s="19">
        <f>IF(AN43=0,J43,0)</f>
        <v>0</v>
      </c>
      <c r="AK43" s="19">
        <f>IF(AN43=15,J43,0)</f>
        <v>0</v>
      </c>
      <c r="AL43" s="19">
        <f>IF(AN43=21,J43,0)</f>
        <v>0</v>
      </c>
      <c r="AN43" s="37">
        <v>21</v>
      </c>
      <c r="AO43" s="37">
        <f>G43*0</f>
        <v>0</v>
      </c>
      <c r="AP43" s="37">
        <f>G43*(1-0)</f>
        <v>0</v>
      </c>
      <c r="AQ43" s="32" t="s">
        <v>7</v>
      </c>
      <c r="AV43" s="37">
        <f>AW43+AX43</f>
        <v>0</v>
      </c>
      <c r="AW43" s="37">
        <f>F43*AO43</f>
        <v>0</v>
      </c>
      <c r="AX43" s="37">
        <f>F43*AP43</f>
        <v>0</v>
      </c>
      <c r="AY43" s="38" t="s">
        <v>290</v>
      </c>
      <c r="AZ43" s="38" t="s">
        <v>306</v>
      </c>
      <c r="BA43" s="28" t="s">
        <v>312</v>
      </c>
      <c r="BC43" s="37">
        <f>AW43+AX43</f>
        <v>0</v>
      </c>
      <c r="BD43" s="37">
        <f>G43/(100-BE43)*100</f>
        <v>0</v>
      </c>
      <c r="BE43" s="37">
        <v>0</v>
      </c>
      <c r="BF43" s="37">
        <f>L43</f>
        <v>0</v>
      </c>
      <c r="BH43" s="19">
        <f>F43*AO43</f>
        <v>0</v>
      </c>
      <c r="BI43" s="19">
        <f>F43*AP43</f>
        <v>0</v>
      </c>
      <c r="BJ43" s="19">
        <f>F43*G43</f>
        <v>0</v>
      </c>
    </row>
    <row r="44" spans="1:62" ht="12.75">
      <c r="A44" s="5" t="s">
        <v>30</v>
      </c>
      <c r="B44" s="5" t="s">
        <v>71</v>
      </c>
      <c r="C44" s="5" t="s">
        <v>107</v>
      </c>
      <c r="D44" s="5" t="s">
        <v>189</v>
      </c>
      <c r="E44" s="5" t="s">
        <v>250</v>
      </c>
      <c r="F44" s="19">
        <v>12</v>
      </c>
      <c r="G44" s="19">
        <v>0</v>
      </c>
      <c r="H44" s="19">
        <f>F44*AO44</f>
        <v>0</v>
      </c>
      <c r="I44" s="19">
        <f>F44*AP44</f>
        <v>0</v>
      </c>
      <c r="J44" s="19">
        <f>F44*G44</f>
        <v>0</v>
      </c>
      <c r="K44" s="19">
        <v>0</v>
      </c>
      <c r="L44" s="19">
        <f>F44*K44</f>
        <v>0</v>
      </c>
      <c r="M44" s="32" t="s">
        <v>272</v>
      </c>
      <c r="Z44" s="37">
        <f>IF(AQ44="5",BJ44,0)</f>
        <v>0</v>
      </c>
      <c r="AB44" s="37">
        <f>IF(AQ44="1",BH44,0)</f>
        <v>0</v>
      </c>
      <c r="AC44" s="37">
        <f>IF(AQ44="1",BI44,0)</f>
        <v>0</v>
      </c>
      <c r="AD44" s="37">
        <f>IF(AQ44="7",BH44,0)</f>
        <v>0</v>
      </c>
      <c r="AE44" s="37">
        <f>IF(AQ44="7",BI44,0)</f>
        <v>0</v>
      </c>
      <c r="AF44" s="37">
        <f>IF(AQ44="2",BH44,0)</f>
        <v>0</v>
      </c>
      <c r="AG44" s="37">
        <f>IF(AQ44="2",BI44,0)</f>
        <v>0</v>
      </c>
      <c r="AH44" s="37">
        <f>IF(AQ44="0",BJ44,0)</f>
        <v>0</v>
      </c>
      <c r="AI44" s="28" t="s">
        <v>71</v>
      </c>
      <c r="AJ44" s="19">
        <f>IF(AN44=0,J44,0)</f>
        <v>0</v>
      </c>
      <c r="AK44" s="19">
        <f>IF(AN44=15,J44,0)</f>
        <v>0</v>
      </c>
      <c r="AL44" s="19">
        <f>IF(AN44=21,J44,0)</f>
        <v>0</v>
      </c>
      <c r="AN44" s="37">
        <v>21</v>
      </c>
      <c r="AO44" s="37">
        <f>G44*0</f>
        <v>0</v>
      </c>
      <c r="AP44" s="37">
        <f>G44*(1-0)</f>
        <v>0</v>
      </c>
      <c r="AQ44" s="32" t="s">
        <v>7</v>
      </c>
      <c r="AV44" s="37">
        <f>AW44+AX44</f>
        <v>0</v>
      </c>
      <c r="AW44" s="37">
        <f>F44*AO44</f>
        <v>0</v>
      </c>
      <c r="AX44" s="37">
        <f>F44*AP44</f>
        <v>0</v>
      </c>
      <c r="AY44" s="38" t="s">
        <v>290</v>
      </c>
      <c r="AZ44" s="38" t="s">
        <v>306</v>
      </c>
      <c r="BA44" s="28" t="s">
        <v>312</v>
      </c>
      <c r="BC44" s="37">
        <f>AW44+AX44</f>
        <v>0</v>
      </c>
      <c r="BD44" s="37">
        <f>G44/(100-BE44)*100</f>
        <v>0</v>
      </c>
      <c r="BE44" s="37">
        <v>0</v>
      </c>
      <c r="BF44" s="37">
        <f>L44</f>
        <v>0</v>
      </c>
      <c r="BH44" s="19">
        <f>F44*AO44</f>
        <v>0</v>
      </c>
      <c r="BI44" s="19">
        <f>F44*AP44</f>
        <v>0</v>
      </c>
      <c r="BJ44" s="19">
        <f>F44*G44</f>
        <v>0</v>
      </c>
    </row>
    <row r="45" spans="1:62" ht="12.75">
      <c r="A45" s="5" t="s">
        <v>31</v>
      </c>
      <c r="B45" s="5" t="s">
        <v>71</v>
      </c>
      <c r="C45" s="5" t="s">
        <v>107</v>
      </c>
      <c r="D45" s="5" t="s">
        <v>190</v>
      </c>
      <c r="E45" s="5" t="s">
        <v>250</v>
      </c>
      <c r="F45" s="19">
        <v>20</v>
      </c>
      <c r="G45" s="19">
        <v>0</v>
      </c>
      <c r="H45" s="19">
        <f>F45*AO45</f>
        <v>0</v>
      </c>
      <c r="I45" s="19">
        <f>F45*AP45</f>
        <v>0</v>
      </c>
      <c r="J45" s="19">
        <f>F45*G45</f>
        <v>0</v>
      </c>
      <c r="K45" s="19">
        <v>0</v>
      </c>
      <c r="L45" s="19">
        <f>F45*K45</f>
        <v>0</v>
      </c>
      <c r="M45" s="32" t="s">
        <v>272</v>
      </c>
      <c r="Z45" s="37">
        <f>IF(AQ45="5",BJ45,0)</f>
        <v>0</v>
      </c>
      <c r="AB45" s="37">
        <f>IF(AQ45="1",BH45,0)</f>
        <v>0</v>
      </c>
      <c r="AC45" s="37">
        <f>IF(AQ45="1",BI45,0)</f>
        <v>0</v>
      </c>
      <c r="AD45" s="37">
        <f>IF(AQ45="7",BH45,0)</f>
        <v>0</v>
      </c>
      <c r="AE45" s="37">
        <f>IF(AQ45="7",BI45,0)</f>
        <v>0</v>
      </c>
      <c r="AF45" s="37">
        <f>IF(AQ45="2",BH45,0)</f>
        <v>0</v>
      </c>
      <c r="AG45" s="37">
        <f>IF(AQ45="2",BI45,0)</f>
        <v>0</v>
      </c>
      <c r="AH45" s="37">
        <f>IF(AQ45="0",BJ45,0)</f>
        <v>0</v>
      </c>
      <c r="AI45" s="28" t="s">
        <v>71</v>
      </c>
      <c r="AJ45" s="19">
        <f>IF(AN45=0,J45,0)</f>
        <v>0</v>
      </c>
      <c r="AK45" s="19">
        <f>IF(AN45=15,J45,0)</f>
        <v>0</v>
      </c>
      <c r="AL45" s="19">
        <f>IF(AN45=21,J45,0)</f>
        <v>0</v>
      </c>
      <c r="AN45" s="37">
        <v>21</v>
      </c>
      <c r="AO45" s="37">
        <f>G45*0</f>
        <v>0</v>
      </c>
      <c r="AP45" s="37">
        <f>G45*(1-0)</f>
        <v>0</v>
      </c>
      <c r="AQ45" s="32" t="s">
        <v>7</v>
      </c>
      <c r="AV45" s="37">
        <f>AW45+AX45</f>
        <v>0</v>
      </c>
      <c r="AW45" s="37">
        <f>F45*AO45</f>
        <v>0</v>
      </c>
      <c r="AX45" s="37">
        <f>F45*AP45</f>
        <v>0</v>
      </c>
      <c r="AY45" s="38" t="s">
        <v>290</v>
      </c>
      <c r="AZ45" s="38" t="s">
        <v>306</v>
      </c>
      <c r="BA45" s="28" t="s">
        <v>312</v>
      </c>
      <c r="BC45" s="37">
        <f>AW45+AX45</f>
        <v>0</v>
      </c>
      <c r="BD45" s="37">
        <f>G45/(100-BE45)*100</f>
        <v>0</v>
      </c>
      <c r="BE45" s="37">
        <v>0</v>
      </c>
      <c r="BF45" s="37">
        <f>L45</f>
        <v>0</v>
      </c>
      <c r="BH45" s="19">
        <f>F45*AO45</f>
        <v>0</v>
      </c>
      <c r="BI45" s="19">
        <f>F45*AP45</f>
        <v>0</v>
      </c>
      <c r="BJ45" s="19">
        <f>F45*G45</f>
        <v>0</v>
      </c>
    </row>
    <row r="46" spans="1:47" ht="12.75">
      <c r="A46" s="4"/>
      <c r="B46" s="14" t="s">
        <v>71</v>
      </c>
      <c r="C46" s="14" t="s">
        <v>108</v>
      </c>
      <c r="D46" s="14" t="s">
        <v>165</v>
      </c>
      <c r="E46" s="4" t="s">
        <v>6</v>
      </c>
      <c r="F46" s="4" t="s">
        <v>6</v>
      </c>
      <c r="G46" s="4" t="s">
        <v>6</v>
      </c>
      <c r="H46" s="40">
        <f>SUM(H47:H47)</f>
        <v>0</v>
      </c>
      <c r="I46" s="40">
        <f>SUM(I47:I47)</f>
        <v>0</v>
      </c>
      <c r="J46" s="40">
        <f>SUM(J47:J47)</f>
        <v>0</v>
      </c>
      <c r="K46" s="28"/>
      <c r="L46" s="40">
        <f>SUM(L47:L47)</f>
        <v>0</v>
      </c>
      <c r="M46" s="28"/>
      <c r="AI46" s="28" t="s">
        <v>71</v>
      </c>
      <c r="AS46" s="40">
        <f>SUM(AJ47:AJ47)</f>
        <v>0</v>
      </c>
      <c r="AT46" s="40">
        <f>SUM(AK47:AK47)</f>
        <v>0</v>
      </c>
      <c r="AU46" s="40">
        <f>SUM(AL47:AL47)</f>
        <v>0</v>
      </c>
    </row>
    <row r="47" spans="1:62" ht="12.75">
      <c r="A47" s="5" t="s">
        <v>32</v>
      </c>
      <c r="B47" s="5" t="s">
        <v>71</v>
      </c>
      <c r="C47" s="5" t="s">
        <v>109</v>
      </c>
      <c r="D47" s="5" t="s">
        <v>191</v>
      </c>
      <c r="E47" s="5" t="s">
        <v>251</v>
      </c>
      <c r="F47" s="19">
        <v>0</v>
      </c>
      <c r="G47" s="19">
        <v>3.35</v>
      </c>
      <c r="H47" s="19">
        <f>F47*AO47</f>
        <v>0</v>
      </c>
      <c r="I47" s="19">
        <f>F47*AP47</f>
        <v>0</v>
      </c>
      <c r="J47" s="19">
        <f>F47*G47</f>
        <v>0</v>
      </c>
      <c r="K47" s="19">
        <v>0</v>
      </c>
      <c r="L47" s="19">
        <f>F47*K47</f>
        <v>0</v>
      </c>
      <c r="M47" s="32" t="s">
        <v>272</v>
      </c>
      <c r="Z47" s="37">
        <f>IF(AQ47="5",BJ47,0)</f>
        <v>0</v>
      </c>
      <c r="AB47" s="37">
        <f>IF(AQ47="1",BH47,0)</f>
        <v>0</v>
      </c>
      <c r="AC47" s="37">
        <f>IF(AQ47="1",BI47,0)</f>
        <v>0</v>
      </c>
      <c r="AD47" s="37">
        <f>IF(AQ47="7",BH47,0)</f>
        <v>0</v>
      </c>
      <c r="AE47" s="37">
        <f>IF(AQ47="7",BI47,0)</f>
        <v>0</v>
      </c>
      <c r="AF47" s="37">
        <f>IF(AQ47="2",BH47,0)</f>
        <v>0</v>
      </c>
      <c r="AG47" s="37">
        <f>IF(AQ47="2",BI47,0)</f>
        <v>0</v>
      </c>
      <c r="AH47" s="37">
        <f>IF(AQ47="0",BJ47,0)</f>
        <v>0</v>
      </c>
      <c r="AI47" s="28" t="s">
        <v>71</v>
      </c>
      <c r="AJ47" s="19">
        <f>IF(AN47=0,J47,0)</f>
        <v>0</v>
      </c>
      <c r="AK47" s="19">
        <f>IF(AN47=15,J47,0)</f>
        <v>0</v>
      </c>
      <c r="AL47" s="19">
        <f>IF(AN47=21,J47,0)</f>
        <v>0</v>
      </c>
      <c r="AN47" s="37">
        <v>21</v>
      </c>
      <c r="AO47" s="37">
        <f>G47*0</f>
        <v>0</v>
      </c>
      <c r="AP47" s="37">
        <f>G47*(1-0)</f>
        <v>3.35</v>
      </c>
      <c r="AQ47" s="32" t="s">
        <v>11</v>
      </c>
      <c r="AV47" s="37">
        <f>AW47+AX47</f>
        <v>0</v>
      </c>
      <c r="AW47" s="37">
        <f>F47*AO47</f>
        <v>0</v>
      </c>
      <c r="AX47" s="37">
        <f>F47*AP47</f>
        <v>0</v>
      </c>
      <c r="AY47" s="38" t="s">
        <v>291</v>
      </c>
      <c r="AZ47" s="38" t="s">
        <v>306</v>
      </c>
      <c r="BA47" s="28" t="s">
        <v>312</v>
      </c>
      <c r="BC47" s="37">
        <f>AW47+AX47</f>
        <v>0</v>
      </c>
      <c r="BD47" s="37">
        <f>G47/(100-BE47)*100</f>
        <v>3.35</v>
      </c>
      <c r="BE47" s="37">
        <v>0</v>
      </c>
      <c r="BF47" s="37">
        <f>L47</f>
        <v>0</v>
      </c>
      <c r="BH47" s="19">
        <f>F47*AO47</f>
        <v>0</v>
      </c>
      <c r="BI47" s="19">
        <f>F47*AP47</f>
        <v>0</v>
      </c>
      <c r="BJ47" s="19">
        <f>F47*G47</f>
        <v>0</v>
      </c>
    </row>
    <row r="48" spans="1:47" ht="12.75">
      <c r="A48" s="4"/>
      <c r="B48" s="14" t="s">
        <v>71</v>
      </c>
      <c r="C48" s="14" t="s">
        <v>110</v>
      </c>
      <c r="D48" s="14" t="s">
        <v>192</v>
      </c>
      <c r="E48" s="4" t="s">
        <v>6</v>
      </c>
      <c r="F48" s="4" t="s">
        <v>6</v>
      </c>
      <c r="G48" s="4" t="s">
        <v>6</v>
      </c>
      <c r="H48" s="40">
        <f>SUM(H49:H51)</f>
        <v>0</v>
      </c>
      <c r="I48" s="40">
        <f>SUM(I49:I51)</f>
        <v>0</v>
      </c>
      <c r="J48" s="40">
        <f>SUM(J49:J51)</f>
        <v>0</v>
      </c>
      <c r="K48" s="28"/>
      <c r="L48" s="40">
        <f>SUM(L49:L51)</f>
        <v>0.006500000000000001</v>
      </c>
      <c r="M48" s="28"/>
      <c r="AI48" s="28" t="s">
        <v>71</v>
      </c>
      <c r="AS48" s="40">
        <f>SUM(AJ49:AJ51)</f>
        <v>0</v>
      </c>
      <c r="AT48" s="40">
        <f>SUM(AK49:AK51)</f>
        <v>0</v>
      </c>
      <c r="AU48" s="40">
        <f>SUM(AL49:AL51)</f>
        <v>0</v>
      </c>
    </row>
    <row r="49" spans="1:62" ht="12.75">
      <c r="A49" s="5" t="s">
        <v>33</v>
      </c>
      <c r="B49" s="5" t="s">
        <v>71</v>
      </c>
      <c r="C49" s="5" t="s">
        <v>111</v>
      </c>
      <c r="D49" s="5" t="s">
        <v>193</v>
      </c>
      <c r="E49" s="5" t="s">
        <v>245</v>
      </c>
      <c r="F49" s="19">
        <v>160</v>
      </c>
      <c r="G49" s="19">
        <v>0</v>
      </c>
      <c r="H49" s="19">
        <f>F49*AO49</f>
        <v>0</v>
      </c>
      <c r="I49" s="19">
        <f>F49*AP49</f>
        <v>0</v>
      </c>
      <c r="J49" s="19">
        <f>F49*G49</f>
        <v>0</v>
      </c>
      <c r="K49" s="19">
        <v>0</v>
      </c>
      <c r="L49" s="19">
        <f>F49*K49</f>
        <v>0</v>
      </c>
      <c r="M49" s="32" t="s">
        <v>272</v>
      </c>
      <c r="Z49" s="37">
        <f>IF(AQ49="5",BJ49,0)</f>
        <v>0</v>
      </c>
      <c r="AB49" s="37">
        <f>IF(AQ49="1",BH49,0)</f>
        <v>0</v>
      </c>
      <c r="AC49" s="37">
        <f>IF(AQ49="1",BI49,0)</f>
        <v>0</v>
      </c>
      <c r="AD49" s="37">
        <f>IF(AQ49="7",BH49,0)</f>
        <v>0</v>
      </c>
      <c r="AE49" s="37">
        <f>IF(AQ49="7",BI49,0)</f>
        <v>0</v>
      </c>
      <c r="AF49" s="37">
        <f>IF(AQ49="2",BH49,0)</f>
        <v>0</v>
      </c>
      <c r="AG49" s="37">
        <f>IF(AQ49="2",BI49,0)</f>
        <v>0</v>
      </c>
      <c r="AH49" s="37">
        <f>IF(AQ49="0",BJ49,0)</f>
        <v>0</v>
      </c>
      <c r="AI49" s="28" t="s">
        <v>71</v>
      </c>
      <c r="AJ49" s="19">
        <f>IF(AN49=0,J49,0)</f>
        <v>0</v>
      </c>
      <c r="AK49" s="19">
        <f>IF(AN49=15,J49,0)</f>
        <v>0</v>
      </c>
      <c r="AL49" s="19">
        <f>IF(AN49=21,J49,0)</f>
        <v>0</v>
      </c>
      <c r="AN49" s="37">
        <v>21</v>
      </c>
      <c r="AO49" s="37">
        <f>G49*0</f>
        <v>0</v>
      </c>
      <c r="AP49" s="37">
        <f>G49*(1-0)</f>
        <v>0</v>
      </c>
      <c r="AQ49" s="32" t="s">
        <v>8</v>
      </c>
      <c r="AV49" s="37">
        <f>AW49+AX49</f>
        <v>0</v>
      </c>
      <c r="AW49" s="37">
        <f>F49*AO49</f>
        <v>0</v>
      </c>
      <c r="AX49" s="37">
        <f>F49*AP49</f>
        <v>0</v>
      </c>
      <c r="AY49" s="38" t="s">
        <v>292</v>
      </c>
      <c r="AZ49" s="38" t="s">
        <v>306</v>
      </c>
      <c r="BA49" s="28" t="s">
        <v>312</v>
      </c>
      <c r="BC49" s="37">
        <f>AW49+AX49</f>
        <v>0</v>
      </c>
      <c r="BD49" s="37">
        <f>G49/(100-BE49)*100</f>
        <v>0</v>
      </c>
      <c r="BE49" s="37">
        <v>0</v>
      </c>
      <c r="BF49" s="37">
        <f>L49</f>
        <v>0</v>
      </c>
      <c r="BH49" s="19">
        <f>F49*AO49</f>
        <v>0</v>
      </c>
      <c r="BI49" s="19">
        <f>F49*AP49</f>
        <v>0</v>
      </c>
      <c r="BJ49" s="19">
        <f>F49*G49</f>
        <v>0</v>
      </c>
    </row>
    <row r="50" spans="1:62" ht="26.25">
      <c r="A50" s="5" t="s">
        <v>34</v>
      </c>
      <c r="B50" s="5" t="s">
        <v>71</v>
      </c>
      <c r="C50" s="5" t="s">
        <v>112</v>
      </c>
      <c r="D50" s="109" t="s">
        <v>194</v>
      </c>
      <c r="E50" s="5" t="s">
        <v>245</v>
      </c>
      <c r="F50" s="19">
        <v>26</v>
      </c>
      <c r="G50" s="19">
        <v>0</v>
      </c>
      <c r="H50" s="19">
        <f>F50*AO50</f>
        <v>0</v>
      </c>
      <c r="I50" s="19">
        <f>F50*AP50</f>
        <v>0</v>
      </c>
      <c r="J50" s="19">
        <f>F50*G50</f>
        <v>0</v>
      </c>
      <c r="K50" s="19">
        <v>0.00025</v>
      </c>
      <c r="L50" s="19">
        <f>F50*K50</f>
        <v>0.006500000000000001</v>
      </c>
      <c r="M50" s="32" t="s">
        <v>272</v>
      </c>
      <c r="Z50" s="37">
        <f>IF(AQ50="5",BJ50,0)</f>
        <v>0</v>
      </c>
      <c r="AB50" s="37">
        <f>IF(AQ50="1",BH50,0)</f>
        <v>0</v>
      </c>
      <c r="AC50" s="37">
        <f>IF(AQ50="1",BI50,0)</f>
        <v>0</v>
      </c>
      <c r="AD50" s="37">
        <f>IF(AQ50="7",BH50,0)</f>
        <v>0</v>
      </c>
      <c r="AE50" s="37">
        <f>IF(AQ50="7",BI50,0)</f>
        <v>0</v>
      </c>
      <c r="AF50" s="37">
        <f>IF(AQ50="2",BH50,0)</f>
        <v>0</v>
      </c>
      <c r="AG50" s="37">
        <f>IF(AQ50="2",BI50,0)</f>
        <v>0</v>
      </c>
      <c r="AH50" s="37">
        <f>IF(AQ50="0",BJ50,0)</f>
        <v>0</v>
      </c>
      <c r="AI50" s="28" t="s">
        <v>71</v>
      </c>
      <c r="AJ50" s="19">
        <f>IF(AN50=0,J50,0)</f>
        <v>0</v>
      </c>
      <c r="AK50" s="19">
        <f>IF(AN50=15,J50,0)</f>
        <v>0</v>
      </c>
      <c r="AL50" s="19">
        <f>IF(AN50=21,J50,0)</f>
        <v>0</v>
      </c>
      <c r="AN50" s="37">
        <v>21</v>
      </c>
      <c r="AO50" s="37">
        <f>G50*0.777881668484754</f>
        <v>0</v>
      </c>
      <c r="AP50" s="37">
        <f>G50*(1-0.777881668484754)</f>
        <v>0</v>
      </c>
      <c r="AQ50" s="32" t="s">
        <v>8</v>
      </c>
      <c r="AV50" s="37">
        <f>AW50+AX50</f>
        <v>0</v>
      </c>
      <c r="AW50" s="37">
        <f>F50*AO50</f>
        <v>0</v>
      </c>
      <c r="AX50" s="37">
        <f>F50*AP50</f>
        <v>0</v>
      </c>
      <c r="AY50" s="38" t="s">
        <v>292</v>
      </c>
      <c r="AZ50" s="38" t="s">
        <v>306</v>
      </c>
      <c r="BA50" s="28" t="s">
        <v>312</v>
      </c>
      <c r="BC50" s="37">
        <f>AW50+AX50</f>
        <v>0</v>
      </c>
      <c r="BD50" s="37">
        <f>G50/(100-BE50)*100</f>
        <v>0</v>
      </c>
      <c r="BE50" s="37">
        <v>0</v>
      </c>
      <c r="BF50" s="37">
        <f>L50</f>
        <v>0.006500000000000001</v>
      </c>
      <c r="BH50" s="19">
        <f>F50*AO50</f>
        <v>0</v>
      </c>
      <c r="BI50" s="19">
        <f>F50*AP50</f>
        <v>0</v>
      </c>
      <c r="BJ50" s="19">
        <f>F50*G50</f>
        <v>0</v>
      </c>
    </row>
    <row r="51" spans="1:62" ht="26.25">
      <c r="A51" s="5" t="s">
        <v>35</v>
      </c>
      <c r="B51" s="5" t="s">
        <v>71</v>
      </c>
      <c r="C51" s="5" t="s">
        <v>113</v>
      </c>
      <c r="D51" s="109" t="s">
        <v>195</v>
      </c>
      <c r="E51" s="5" t="s">
        <v>245</v>
      </c>
      <c r="F51" s="19">
        <v>120</v>
      </c>
      <c r="G51" s="19">
        <v>0</v>
      </c>
      <c r="H51" s="19">
        <f>F51*AO51</f>
        <v>0</v>
      </c>
      <c r="I51" s="19">
        <f>F51*AP51</f>
        <v>0</v>
      </c>
      <c r="J51" s="19">
        <f>F51*G51</f>
        <v>0</v>
      </c>
      <c r="K51" s="19">
        <v>0</v>
      </c>
      <c r="L51" s="19">
        <f>F51*K51</f>
        <v>0</v>
      </c>
      <c r="M51" s="32" t="s">
        <v>272</v>
      </c>
      <c r="Z51" s="37">
        <f>IF(AQ51="5",BJ51,0)</f>
        <v>0</v>
      </c>
      <c r="AB51" s="37">
        <f>IF(AQ51="1",BH51,0)</f>
        <v>0</v>
      </c>
      <c r="AC51" s="37">
        <f>IF(AQ51="1",BI51,0)</f>
        <v>0</v>
      </c>
      <c r="AD51" s="37">
        <f>IF(AQ51="7",BH51,0)</f>
        <v>0</v>
      </c>
      <c r="AE51" s="37">
        <f>IF(AQ51="7",BI51,0)</f>
        <v>0</v>
      </c>
      <c r="AF51" s="37">
        <f>IF(AQ51="2",BH51,0)</f>
        <v>0</v>
      </c>
      <c r="AG51" s="37">
        <f>IF(AQ51="2",BI51,0)</f>
        <v>0</v>
      </c>
      <c r="AH51" s="37">
        <f>IF(AQ51="0",BJ51,0)</f>
        <v>0</v>
      </c>
      <c r="AI51" s="28" t="s">
        <v>71</v>
      </c>
      <c r="AJ51" s="19">
        <f>IF(AN51=0,J51,0)</f>
        <v>0</v>
      </c>
      <c r="AK51" s="19">
        <f>IF(AN51=15,J51,0)</f>
        <v>0</v>
      </c>
      <c r="AL51" s="19">
        <f>IF(AN51=21,J51,0)</f>
        <v>0</v>
      </c>
      <c r="AN51" s="37">
        <v>21</v>
      </c>
      <c r="AO51" s="37">
        <f>G51*0.168639667705088</f>
        <v>0</v>
      </c>
      <c r="AP51" s="37">
        <f>G51*(1-0.168639667705088)</f>
        <v>0</v>
      </c>
      <c r="AQ51" s="32" t="s">
        <v>8</v>
      </c>
      <c r="AV51" s="37">
        <f>AW51+AX51</f>
        <v>0</v>
      </c>
      <c r="AW51" s="37">
        <f>F51*AO51</f>
        <v>0</v>
      </c>
      <c r="AX51" s="37">
        <f>F51*AP51</f>
        <v>0</v>
      </c>
      <c r="AY51" s="38" t="s">
        <v>292</v>
      </c>
      <c r="AZ51" s="38" t="s">
        <v>306</v>
      </c>
      <c r="BA51" s="28" t="s">
        <v>312</v>
      </c>
      <c r="BC51" s="37">
        <f>AW51+AX51</f>
        <v>0</v>
      </c>
      <c r="BD51" s="37">
        <f>G51/(100-BE51)*100</f>
        <v>0</v>
      </c>
      <c r="BE51" s="37">
        <v>0</v>
      </c>
      <c r="BF51" s="37">
        <f>L51</f>
        <v>0</v>
      </c>
      <c r="BH51" s="19">
        <f>F51*AO51</f>
        <v>0</v>
      </c>
      <c r="BI51" s="19">
        <f>F51*AP51</f>
        <v>0</v>
      </c>
      <c r="BJ51" s="19">
        <f>F51*G51</f>
        <v>0</v>
      </c>
    </row>
    <row r="52" spans="1:47" ht="12.75">
      <c r="A52" s="4"/>
      <c r="B52" s="14" t="s">
        <v>71</v>
      </c>
      <c r="C52" s="14"/>
      <c r="D52" s="14" t="s">
        <v>196</v>
      </c>
      <c r="E52" s="4" t="s">
        <v>6</v>
      </c>
      <c r="F52" s="4" t="s">
        <v>6</v>
      </c>
      <c r="G52" s="4" t="s">
        <v>6</v>
      </c>
      <c r="H52" s="40">
        <f>SUM(H53:H63)</f>
        <v>0</v>
      </c>
      <c r="I52" s="40">
        <f>SUM(I53:I63)</f>
        <v>0</v>
      </c>
      <c r="J52" s="40">
        <f>SUM(J53:J63)</f>
        <v>0</v>
      </c>
      <c r="K52" s="28"/>
      <c r="L52" s="40">
        <f>SUM(L53:L63)</f>
        <v>0</v>
      </c>
      <c r="M52" s="28"/>
      <c r="AI52" s="28" t="s">
        <v>71</v>
      </c>
      <c r="AS52" s="40">
        <f>SUM(AJ53:AJ63)</f>
        <v>0</v>
      </c>
      <c r="AT52" s="40">
        <f>SUM(AK53:AK63)</f>
        <v>0</v>
      </c>
      <c r="AU52" s="40">
        <f>SUM(AL53:AL63)</f>
        <v>0</v>
      </c>
    </row>
    <row r="53" spans="1:62" ht="12.75">
      <c r="A53" s="6" t="s">
        <v>36</v>
      </c>
      <c r="B53" s="6" t="s">
        <v>71</v>
      </c>
      <c r="C53" s="6" t="s">
        <v>114</v>
      </c>
      <c r="D53" s="6" t="s">
        <v>197</v>
      </c>
      <c r="E53" s="6" t="s">
        <v>249</v>
      </c>
      <c r="F53" s="20">
        <v>8</v>
      </c>
      <c r="G53" s="19">
        <v>0</v>
      </c>
      <c r="H53" s="20">
        <f aca="true" t="shared" si="48" ref="H53:H63">F53*AO53</f>
        <v>0</v>
      </c>
      <c r="I53" s="20">
        <f aca="true" t="shared" si="49" ref="I53:I63">F53*AP53</f>
        <v>0</v>
      </c>
      <c r="J53" s="20">
        <f aca="true" t="shared" si="50" ref="J53:J63">F53*G53</f>
        <v>0</v>
      </c>
      <c r="K53" s="20">
        <v>0</v>
      </c>
      <c r="L53" s="20">
        <f aca="true" t="shared" si="51" ref="L53:L63">F53*K53</f>
        <v>0</v>
      </c>
      <c r="M53" s="33"/>
      <c r="Z53" s="37">
        <f aca="true" t="shared" si="52" ref="Z53:Z63">IF(AQ53="5",BJ53,0)</f>
        <v>0</v>
      </c>
      <c r="AB53" s="37">
        <f aca="true" t="shared" si="53" ref="AB53:AB63">IF(AQ53="1",BH53,0)</f>
        <v>0</v>
      </c>
      <c r="AC53" s="37">
        <f aca="true" t="shared" si="54" ref="AC53:AC63">IF(AQ53="1",BI53,0)</f>
        <v>0</v>
      </c>
      <c r="AD53" s="37">
        <f aca="true" t="shared" si="55" ref="AD53:AD63">IF(AQ53="7",BH53,0)</f>
        <v>0</v>
      </c>
      <c r="AE53" s="37">
        <f aca="true" t="shared" si="56" ref="AE53:AE63">IF(AQ53="7",BI53,0)</f>
        <v>0</v>
      </c>
      <c r="AF53" s="37">
        <f aca="true" t="shared" si="57" ref="AF53:AF63">IF(AQ53="2",BH53,0)</f>
        <v>0</v>
      </c>
      <c r="AG53" s="37">
        <f aca="true" t="shared" si="58" ref="AG53:AG63">IF(AQ53="2",BI53,0)</f>
        <v>0</v>
      </c>
      <c r="AH53" s="37">
        <f aca="true" t="shared" si="59" ref="AH53:AH63">IF(AQ53="0",BJ53,0)</f>
        <v>0</v>
      </c>
      <c r="AI53" s="28" t="s">
        <v>71</v>
      </c>
      <c r="AJ53" s="20">
        <f aca="true" t="shared" si="60" ref="AJ53:AJ63">IF(AN53=0,J53,0)</f>
        <v>0</v>
      </c>
      <c r="AK53" s="20">
        <f aca="true" t="shared" si="61" ref="AK53:AK63">IF(AN53=15,J53,0)</f>
        <v>0</v>
      </c>
      <c r="AL53" s="20">
        <f aca="true" t="shared" si="62" ref="AL53:AL63">IF(AN53=21,J53,0)</f>
        <v>0</v>
      </c>
      <c r="AN53" s="37">
        <v>21</v>
      </c>
      <c r="AO53" s="37">
        <f aca="true" t="shared" si="63" ref="AO53:AO63">G53*1</f>
        <v>0</v>
      </c>
      <c r="AP53" s="37">
        <f aca="true" t="shared" si="64" ref="AP53:AP63">G53*(1-1)</f>
        <v>0</v>
      </c>
      <c r="AQ53" s="33" t="s">
        <v>282</v>
      </c>
      <c r="AV53" s="37">
        <f aca="true" t="shared" si="65" ref="AV53:AV63">AW53+AX53</f>
        <v>0</v>
      </c>
      <c r="AW53" s="37">
        <f aca="true" t="shared" si="66" ref="AW53:AW63">F53*AO53</f>
        <v>0</v>
      </c>
      <c r="AX53" s="37">
        <f aca="true" t="shared" si="67" ref="AX53:AX63">F53*AP53</f>
        <v>0</v>
      </c>
      <c r="AY53" s="38" t="s">
        <v>293</v>
      </c>
      <c r="AZ53" s="38" t="s">
        <v>307</v>
      </c>
      <c r="BA53" s="28" t="s">
        <v>312</v>
      </c>
      <c r="BC53" s="37">
        <f aca="true" t="shared" si="68" ref="BC53:BC63">AW53+AX53</f>
        <v>0</v>
      </c>
      <c r="BD53" s="37">
        <f aca="true" t="shared" si="69" ref="BD53:BD63">G53/(100-BE53)*100</f>
        <v>0</v>
      </c>
      <c r="BE53" s="37">
        <v>0</v>
      </c>
      <c r="BF53" s="37">
        <f aca="true" t="shared" si="70" ref="BF53:BF63">L53</f>
        <v>0</v>
      </c>
      <c r="BH53" s="20">
        <f aca="true" t="shared" si="71" ref="BH53:BH63">F53*AO53</f>
        <v>0</v>
      </c>
      <c r="BI53" s="20">
        <f aca="true" t="shared" si="72" ref="BI53:BI63">F53*AP53</f>
        <v>0</v>
      </c>
      <c r="BJ53" s="20">
        <f aca="true" t="shared" si="73" ref="BJ53:BJ63">F53*G53</f>
        <v>0</v>
      </c>
    </row>
    <row r="54" spans="1:62" ht="12.75">
      <c r="A54" s="6" t="s">
        <v>37</v>
      </c>
      <c r="B54" s="6" t="s">
        <v>71</v>
      </c>
      <c r="C54" s="6" t="s">
        <v>115</v>
      </c>
      <c r="D54" s="6" t="s">
        <v>198</v>
      </c>
      <c r="E54" s="6" t="s">
        <v>247</v>
      </c>
      <c r="F54" s="20">
        <v>1</v>
      </c>
      <c r="G54" s="19">
        <v>0</v>
      </c>
      <c r="H54" s="20">
        <f t="shared" si="48"/>
        <v>0</v>
      </c>
      <c r="I54" s="20">
        <f t="shared" si="49"/>
        <v>0</v>
      </c>
      <c r="J54" s="20">
        <f t="shared" si="50"/>
        <v>0</v>
      </c>
      <c r="K54" s="20">
        <v>0</v>
      </c>
      <c r="L54" s="20">
        <f t="shared" si="51"/>
        <v>0</v>
      </c>
      <c r="M54" s="33"/>
      <c r="Z54" s="37">
        <f t="shared" si="52"/>
        <v>0</v>
      </c>
      <c r="AB54" s="37">
        <f t="shared" si="53"/>
        <v>0</v>
      </c>
      <c r="AC54" s="37">
        <f t="shared" si="54"/>
        <v>0</v>
      </c>
      <c r="AD54" s="37">
        <f t="shared" si="55"/>
        <v>0</v>
      </c>
      <c r="AE54" s="37">
        <f t="shared" si="56"/>
        <v>0</v>
      </c>
      <c r="AF54" s="37">
        <f t="shared" si="57"/>
        <v>0</v>
      </c>
      <c r="AG54" s="37">
        <f t="shared" si="58"/>
        <v>0</v>
      </c>
      <c r="AH54" s="37">
        <f t="shared" si="59"/>
        <v>0</v>
      </c>
      <c r="AI54" s="28" t="s">
        <v>71</v>
      </c>
      <c r="AJ54" s="20">
        <f t="shared" si="60"/>
        <v>0</v>
      </c>
      <c r="AK54" s="20">
        <f t="shared" si="61"/>
        <v>0</v>
      </c>
      <c r="AL54" s="20">
        <f t="shared" si="62"/>
        <v>0</v>
      </c>
      <c r="AN54" s="37">
        <v>21</v>
      </c>
      <c r="AO54" s="37">
        <f t="shared" si="63"/>
        <v>0</v>
      </c>
      <c r="AP54" s="37">
        <f t="shared" si="64"/>
        <v>0</v>
      </c>
      <c r="AQ54" s="33" t="s">
        <v>282</v>
      </c>
      <c r="AV54" s="37">
        <f t="shared" si="65"/>
        <v>0</v>
      </c>
      <c r="AW54" s="37">
        <f t="shared" si="66"/>
        <v>0</v>
      </c>
      <c r="AX54" s="37">
        <f t="shared" si="67"/>
        <v>0</v>
      </c>
      <c r="AY54" s="38" t="s">
        <v>293</v>
      </c>
      <c r="AZ54" s="38" t="s">
        <v>307</v>
      </c>
      <c r="BA54" s="28" t="s">
        <v>312</v>
      </c>
      <c r="BC54" s="37">
        <f t="shared" si="68"/>
        <v>0</v>
      </c>
      <c r="BD54" s="37">
        <f t="shared" si="69"/>
        <v>0</v>
      </c>
      <c r="BE54" s="37">
        <v>0</v>
      </c>
      <c r="BF54" s="37">
        <f t="shared" si="70"/>
        <v>0</v>
      </c>
      <c r="BH54" s="20">
        <f t="shared" si="71"/>
        <v>0</v>
      </c>
      <c r="BI54" s="20">
        <f t="shared" si="72"/>
        <v>0</v>
      </c>
      <c r="BJ54" s="20">
        <f t="shared" si="73"/>
        <v>0</v>
      </c>
    </row>
    <row r="55" spans="1:62" ht="26.25">
      <c r="A55" s="6" t="s">
        <v>38</v>
      </c>
      <c r="B55" s="6" t="s">
        <v>71</v>
      </c>
      <c r="C55" s="6" t="s">
        <v>116</v>
      </c>
      <c r="D55" s="110" t="s">
        <v>199</v>
      </c>
      <c r="E55" s="6" t="s">
        <v>247</v>
      </c>
      <c r="F55" s="20">
        <v>1</v>
      </c>
      <c r="G55" s="19">
        <v>0</v>
      </c>
      <c r="H55" s="20">
        <f t="shared" si="48"/>
        <v>0</v>
      </c>
      <c r="I55" s="20">
        <f t="shared" si="49"/>
        <v>0</v>
      </c>
      <c r="J55" s="20">
        <f t="shared" si="50"/>
        <v>0</v>
      </c>
      <c r="K55" s="20">
        <v>0</v>
      </c>
      <c r="L55" s="20">
        <f t="shared" si="51"/>
        <v>0</v>
      </c>
      <c r="M55" s="33"/>
      <c r="Z55" s="37">
        <f t="shared" si="52"/>
        <v>0</v>
      </c>
      <c r="AB55" s="37">
        <f t="shared" si="53"/>
        <v>0</v>
      </c>
      <c r="AC55" s="37">
        <f t="shared" si="54"/>
        <v>0</v>
      </c>
      <c r="AD55" s="37">
        <f t="shared" si="55"/>
        <v>0</v>
      </c>
      <c r="AE55" s="37">
        <f t="shared" si="56"/>
        <v>0</v>
      </c>
      <c r="AF55" s="37">
        <f t="shared" si="57"/>
        <v>0</v>
      </c>
      <c r="AG55" s="37">
        <f t="shared" si="58"/>
        <v>0</v>
      </c>
      <c r="AH55" s="37">
        <f t="shared" si="59"/>
        <v>0</v>
      </c>
      <c r="AI55" s="28" t="s">
        <v>71</v>
      </c>
      <c r="AJ55" s="20">
        <f t="shared" si="60"/>
        <v>0</v>
      </c>
      <c r="AK55" s="20">
        <f t="shared" si="61"/>
        <v>0</v>
      </c>
      <c r="AL55" s="20">
        <f t="shared" si="62"/>
        <v>0</v>
      </c>
      <c r="AN55" s="37">
        <v>21</v>
      </c>
      <c r="AO55" s="37">
        <f t="shared" si="63"/>
        <v>0</v>
      </c>
      <c r="AP55" s="37">
        <f t="shared" si="64"/>
        <v>0</v>
      </c>
      <c r="AQ55" s="33" t="s">
        <v>282</v>
      </c>
      <c r="AV55" s="37">
        <f t="shared" si="65"/>
        <v>0</v>
      </c>
      <c r="AW55" s="37">
        <f t="shared" si="66"/>
        <v>0</v>
      </c>
      <c r="AX55" s="37">
        <f t="shared" si="67"/>
        <v>0</v>
      </c>
      <c r="AY55" s="38" t="s">
        <v>293</v>
      </c>
      <c r="AZ55" s="38" t="s">
        <v>307</v>
      </c>
      <c r="BA55" s="28" t="s">
        <v>312</v>
      </c>
      <c r="BC55" s="37">
        <f t="shared" si="68"/>
        <v>0</v>
      </c>
      <c r="BD55" s="37">
        <f t="shared" si="69"/>
        <v>0</v>
      </c>
      <c r="BE55" s="37">
        <v>0</v>
      </c>
      <c r="BF55" s="37">
        <f t="shared" si="70"/>
        <v>0</v>
      </c>
      <c r="BH55" s="20">
        <f t="shared" si="71"/>
        <v>0</v>
      </c>
      <c r="BI55" s="20">
        <f t="shared" si="72"/>
        <v>0</v>
      </c>
      <c r="BJ55" s="20">
        <f t="shared" si="73"/>
        <v>0</v>
      </c>
    </row>
    <row r="56" spans="1:62" ht="12.75">
      <c r="A56" s="6" t="s">
        <v>39</v>
      </c>
      <c r="B56" s="6" t="s">
        <v>71</v>
      </c>
      <c r="C56" s="6" t="s">
        <v>117</v>
      </c>
      <c r="D56" s="6" t="s">
        <v>200</v>
      </c>
      <c r="E56" s="6" t="s">
        <v>247</v>
      </c>
      <c r="F56" s="20">
        <v>1</v>
      </c>
      <c r="G56" s="19">
        <v>0</v>
      </c>
      <c r="H56" s="20">
        <f t="shared" si="48"/>
        <v>0</v>
      </c>
      <c r="I56" s="20">
        <f t="shared" si="49"/>
        <v>0</v>
      </c>
      <c r="J56" s="20">
        <f t="shared" si="50"/>
        <v>0</v>
      </c>
      <c r="K56" s="20">
        <v>0</v>
      </c>
      <c r="L56" s="20">
        <f t="shared" si="51"/>
        <v>0</v>
      </c>
      <c r="M56" s="33"/>
      <c r="Z56" s="37">
        <f t="shared" si="52"/>
        <v>0</v>
      </c>
      <c r="AB56" s="37">
        <f t="shared" si="53"/>
        <v>0</v>
      </c>
      <c r="AC56" s="37">
        <f t="shared" si="54"/>
        <v>0</v>
      </c>
      <c r="AD56" s="37">
        <f t="shared" si="55"/>
        <v>0</v>
      </c>
      <c r="AE56" s="37">
        <f t="shared" si="56"/>
        <v>0</v>
      </c>
      <c r="AF56" s="37">
        <f t="shared" si="57"/>
        <v>0</v>
      </c>
      <c r="AG56" s="37">
        <f t="shared" si="58"/>
        <v>0</v>
      </c>
      <c r="AH56" s="37">
        <f t="shared" si="59"/>
        <v>0</v>
      </c>
      <c r="AI56" s="28" t="s">
        <v>71</v>
      </c>
      <c r="AJ56" s="20">
        <f t="shared" si="60"/>
        <v>0</v>
      </c>
      <c r="AK56" s="20">
        <f t="shared" si="61"/>
        <v>0</v>
      </c>
      <c r="AL56" s="20">
        <f t="shared" si="62"/>
        <v>0</v>
      </c>
      <c r="AN56" s="37">
        <v>21</v>
      </c>
      <c r="AO56" s="37">
        <f t="shared" si="63"/>
        <v>0</v>
      </c>
      <c r="AP56" s="37">
        <f t="shared" si="64"/>
        <v>0</v>
      </c>
      <c r="AQ56" s="33" t="s">
        <v>282</v>
      </c>
      <c r="AV56" s="37">
        <f t="shared" si="65"/>
        <v>0</v>
      </c>
      <c r="AW56" s="37">
        <f t="shared" si="66"/>
        <v>0</v>
      </c>
      <c r="AX56" s="37">
        <f t="shared" si="67"/>
        <v>0</v>
      </c>
      <c r="AY56" s="38" t="s">
        <v>293</v>
      </c>
      <c r="AZ56" s="38" t="s">
        <v>307</v>
      </c>
      <c r="BA56" s="28" t="s">
        <v>312</v>
      </c>
      <c r="BC56" s="37">
        <f t="shared" si="68"/>
        <v>0</v>
      </c>
      <c r="BD56" s="37">
        <f t="shared" si="69"/>
        <v>0</v>
      </c>
      <c r="BE56" s="37">
        <v>0</v>
      </c>
      <c r="BF56" s="37">
        <f t="shared" si="70"/>
        <v>0</v>
      </c>
      <c r="BH56" s="20">
        <f t="shared" si="71"/>
        <v>0</v>
      </c>
      <c r="BI56" s="20">
        <f t="shared" si="72"/>
        <v>0</v>
      </c>
      <c r="BJ56" s="20">
        <f t="shared" si="73"/>
        <v>0</v>
      </c>
    </row>
    <row r="57" spans="1:62" ht="12.75">
      <c r="A57" s="6" t="s">
        <v>40</v>
      </c>
      <c r="B57" s="6" t="s">
        <v>71</v>
      </c>
      <c r="C57" s="6" t="s">
        <v>118</v>
      </c>
      <c r="D57" s="6" t="s">
        <v>201</v>
      </c>
      <c r="E57" s="6" t="s">
        <v>247</v>
      </c>
      <c r="F57" s="20">
        <v>1</v>
      </c>
      <c r="G57" s="19">
        <v>0</v>
      </c>
      <c r="H57" s="20">
        <f t="shared" si="48"/>
        <v>0</v>
      </c>
      <c r="I57" s="20">
        <f t="shared" si="49"/>
        <v>0</v>
      </c>
      <c r="J57" s="20">
        <f t="shared" si="50"/>
        <v>0</v>
      </c>
      <c r="K57" s="20">
        <v>0</v>
      </c>
      <c r="L57" s="20">
        <f t="shared" si="51"/>
        <v>0</v>
      </c>
      <c r="M57" s="33"/>
      <c r="Z57" s="37">
        <f t="shared" si="52"/>
        <v>0</v>
      </c>
      <c r="AB57" s="37">
        <f t="shared" si="53"/>
        <v>0</v>
      </c>
      <c r="AC57" s="37">
        <f t="shared" si="54"/>
        <v>0</v>
      </c>
      <c r="AD57" s="37">
        <f t="shared" si="55"/>
        <v>0</v>
      </c>
      <c r="AE57" s="37">
        <f t="shared" si="56"/>
        <v>0</v>
      </c>
      <c r="AF57" s="37">
        <f t="shared" si="57"/>
        <v>0</v>
      </c>
      <c r="AG57" s="37">
        <f t="shared" si="58"/>
        <v>0</v>
      </c>
      <c r="AH57" s="37">
        <f t="shared" si="59"/>
        <v>0</v>
      </c>
      <c r="AI57" s="28" t="s">
        <v>71</v>
      </c>
      <c r="AJ57" s="20">
        <f t="shared" si="60"/>
        <v>0</v>
      </c>
      <c r="AK57" s="20">
        <f t="shared" si="61"/>
        <v>0</v>
      </c>
      <c r="AL57" s="20">
        <f t="shared" si="62"/>
        <v>0</v>
      </c>
      <c r="AN57" s="37">
        <v>21</v>
      </c>
      <c r="AO57" s="37">
        <f t="shared" si="63"/>
        <v>0</v>
      </c>
      <c r="AP57" s="37">
        <f t="shared" si="64"/>
        <v>0</v>
      </c>
      <c r="AQ57" s="33" t="s">
        <v>282</v>
      </c>
      <c r="AV57" s="37">
        <f t="shared" si="65"/>
        <v>0</v>
      </c>
      <c r="AW57" s="37">
        <f t="shared" si="66"/>
        <v>0</v>
      </c>
      <c r="AX57" s="37">
        <f t="shared" si="67"/>
        <v>0</v>
      </c>
      <c r="AY57" s="38" t="s">
        <v>293</v>
      </c>
      <c r="AZ57" s="38" t="s">
        <v>307</v>
      </c>
      <c r="BA57" s="28" t="s">
        <v>312</v>
      </c>
      <c r="BC57" s="37">
        <f t="shared" si="68"/>
        <v>0</v>
      </c>
      <c r="BD57" s="37">
        <f t="shared" si="69"/>
        <v>0</v>
      </c>
      <c r="BE57" s="37">
        <v>0</v>
      </c>
      <c r="BF57" s="37">
        <f t="shared" si="70"/>
        <v>0</v>
      </c>
      <c r="BH57" s="20">
        <f t="shared" si="71"/>
        <v>0</v>
      </c>
      <c r="BI57" s="20">
        <f t="shared" si="72"/>
        <v>0</v>
      </c>
      <c r="BJ57" s="20">
        <f t="shared" si="73"/>
        <v>0</v>
      </c>
    </row>
    <row r="58" spans="1:62" ht="12.75">
      <c r="A58" s="6" t="s">
        <v>41</v>
      </c>
      <c r="B58" s="6" t="s">
        <v>71</v>
      </c>
      <c r="C58" s="6" t="s">
        <v>119</v>
      </c>
      <c r="D58" s="6" t="s">
        <v>202</v>
      </c>
      <c r="E58" s="6" t="s">
        <v>245</v>
      </c>
      <c r="F58" s="20">
        <v>10</v>
      </c>
      <c r="G58" s="19">
        <v>0</v>
      </c>
      <c r="H58" s="20">
        <f t="shared" si="48"/>
        <v>0</v>
      </c>
      <c r="I58" s="20">
        <f t="shared" si="49"/>
        <v>0</v>
      </c>
      <c r="J58" s="20">
        <f t="shared" si="50"/>
        <v>0</v>
      </c>
      <c r="K58" s="20">
        <v>0</v>
      </c>
      <c r="L58" s="20">
        <f t="shared" si="51"/>
        <v>0</v>
      </c>
      <c r="M58" s="33"/>
      <c r="Z58" s="37">
        <f t="shared" si="52"/>
        <v>0</v>
      </c>
      <c r="AB58" s="37">
        <f t="shared" si="53"/>
        <v>0</v>
      </c>
      <c r="AC58" s="37">
        <f t="shared" si="54"/>
        <v>0</v>
      </c>
      <c r="AD58" s="37">
        <f t="shared" si="55"/>
        <v>0</v>
      </c>
      <c r="AE58" s="37">
        <f t="shared" si="56"/>
        <v>0</v>
      </c>
      <c r="AF58" s="37">
        <f t="shared" si="57"/>
        <v>0</v>
      </c>
      <c r="AG58" s="37">
        <f t="shared" si="58"/>
        <v>0</v>
      </c>
      <c r="AH58" s="37">
        <f t="shared" si="59"/>
        <v>0</v>
      </c>
      <c r="AI58" s="28" t="s">
        <v>71</v>
      </c>
      <c r="AJ58" s="20">
        <f t="shared" si="60"/>
        <v>0</v>
      </c>
      <c r="AK58" s="20">
        <f t="shared" si="61"/>
        <v>0</v>
      </c>
      <c r="AL58" s="20">
        <f t="shared" si="62"/>
        <v>0</v>
      </c>
      <c r="AN58" s="37">
        <v>21</v>
      </c>
      <c r="AO58" s="37">
        <f t="shared" si="63"/>
        <v>0</v>
      </c>
      <c r="AP58" s="37">
        <f t="shared" si="64"/>
        <v>0</v>
      </c>
      <c r="AQ58" s="33" t="s">
        <v>282</v>
      </c>
      <c r="AV58" s="37">
        <f t="shared" si="65"/>
        <v>0</v>
      </c>
      <c r="AW58" s="37">
        <f t="shared" si="66"/>
        <v>0</v>
      </c>
      <c r="AX58" s="37">
        <f t="shared" si="67"/>
        <v>0</v>
      </c>
      <c r="AY58" s="38" t="s">
        <v>293</v>
      </c>
      <c r="AZ58" s="38" t="s">
        <v>307</v>
      </c>
      <c r="BA58" s="28" t="s">
        <v>312</v>
      </c>
      <c r="BC58" s="37">
        <f t="shared" si="68"/>
        <v>0</v>
      </c>
      <c r="BD58" s="37">
        <f t="shared" si="69"/>
        <v>0</v>
      </c>
      <c r="BE58" s="37">
        <v>0</v>
      </c>
      <c r="BF58" s="37">
        <f t="shared" si="70"/>
        <v>0</v>
      </c>
      <c r="BH58" s="20">
        <f t="shared" si="71"/>
        <v>0</v>
      </c>
      <c r="BI58" s="20">
        <f t="shared" si="72"/>
        <v>0</v>
      </c>
      <c r="BJ58" s="20">
        <f t="shared" si="73"/>
        <v>0</v>
      </c>
    </row>
    <row r="59" spans="1:62" ht="12.75">
      <c r="A59" s="6" t="s">
        <v>42</v>
      </c>
      <c r="B59" s="6" t="s">
        <v>71</v>
      </c>
      <c r="C59" s="6" t="s">
        <v>120</v>
      </c>
      <c r="D59" s="6" t="s">
        <v>203</v>
      </c>
      <c r="E59" s="6" t="s">
        <v>245</v>
      </c>
      <c r="F59" s="20">
        <v>93</v>
      </c>
      <c r="G59" s="19">
        <v>0</v>
      </c>
      <c r="H59" s="20">
        <f t="shared" si="48"/>
        <v>0</v>
      </c>
      <c r="I59" s="20">
        <f t="shared" si="49"/>
        <v>0</v>
      </c>
      <c r="J59" s="20">
        <f t="shared" si="50"/>
        <v>0</v>
      </c>
      <c r="K59" s="20">
        <v>0</v>
      </c>
      <c r="L59" s="20">
        <f t="shared" si="51"/>
        <v>0</v>
      </c>
      <c r="M59" s="33"/>
      <c r="Z59" s="37">
        <f t="shared" si="52"/>
        <v>0</v>
      </c>
      <c r="AB59" s="37">
        <f t="shared" si="53"/>
        <v>0</v>
      </c>
      <c r="AC59" s="37">
        <f t="shared" si="54"/>
        <v>0</v>
      </c>
      <c r="AD59" s="37">
        <f t="shared" si="55"/>
        <v>0</v>
      </c>
      <c r="AE59" s="37">
        <f t="shared" si="56"/>
        <v>0</v>
      </c>
      <c r="AF59" s="37">
        <f t="shared" si="57"/>
        <v>0</v>
      </c>
      <c r="AG59" s="37">
        <f t="shared" si="58"/>
        <v>0</v>
      </c>
      <c r="AH59" s="37">
        <f t="shared" si="59"/>
        <v>0</v>
      </c>
      <c r="AI59" s="28" t="s">
        <v>71</v>
      </c>
      <c r="AJ59" s="20">
        <f t="shared" si="60"/>
        <v>0</v>
      </c>
      <c r="AK59" s="20">
        <f t="shared" si="61"/>
        <v>0</v>
      </c>
      <c r="AL59" s="20">
        <f t="shared" si="62"/>
        <v>0</v>
      </c>
      <c r="AN59" s="37">
        <v>21</v>
      </c>
      <c r="AO59" s="37">
        <f t="shared" si="63"/>
        <v>0</v>
      </c>
      <c r="AP59" s="37">
        <f t="shared" si="64"/>
        <v>0</v>
      </c>
      <c r="AQ59" s="33" t="s">
        <v>282</v>
      </c>
      <c r="AV59" s="37">
        <f t="shared" si="65"/>
        <v>0</v>
      </c>
      <c r="AW59" s="37">
        <f t="shared" si="66"/>
        <v>0</v>
      </c>
      <c r="AX59" s="37">
        <f t="shared" si="67"/>
        <v>0</v>
      </c>
      <c r="AY59" s="38" t="s">
        <v>293</v>
      </c>
      <c r="AZ59" s="38" t="s">
        <v>307</v>
      </c>
      <c r="BA59" s="28" t="s">
        <v>312</v>
      </c>
      <c r="BC59" s="37">
        <f t="shared" si="68"/>
        <v>0</v>
      </c>
      <c r="BD59" s="37">
        <f t="shared" si="69"/>
        <v>0</v>
      </c>
      <c r="BE59" s="37">
        <v>0</v>
      </c>
      <c r="BF59" s="37">
        <f t="shared" si="70"/>
        <v>0</v>
      </c>
      <c r="BH59" s="20">
        <f t="shared" si="71"/>
        <v>0</v>
      </c>
      <c r="BI59" s="20">
        <f t="shared" si="72"/>
        <v>0</v>
      </c>
      <c r="BJ59" s="20">
        <f t="shared" si="73"/>
        <v>0</v>
      </c>
    </row>
    <row r="60" spans="1:62" ht="12.75">
      <c r="A60" s="6" t="s">
        <v>43</v>
      </c>
      <c r="B60" s="6" t="s">
        <v>71</v>
      </c>
      <c r="C60" s="6" t="s">
        <v>121</v>
      </c>
      <c r="D60" s="6" t="s">
        <v>204</v>
      </c>
      <c r="E60" s="6" t="s">
        <v>247</v>
      </c>
      <c r="F60" s="20">
        <v>1</v>
      </c>
      <c r="G60" s="19">
        <v>0</v>
      </c>
      <c r="H60" s="20">
        <f t="shared" si="48"/>
        <v>0</v>
      </c>
      <c r="I60" s="20">
        <f t="shared" si="49"/>
        <v>0</v>
      </c>
      <c r="J60" s="20">
        <f t="shared" si="50"/>
        <v>0</v>
      </c>
      <c r="K60" s="20">
        <v>0</v>
      </c>
      <c r="L60" s="20">
        <f t="shared" si="51"/>
        <v>0</v>
      </c>
      <c r="M60" s="33"/>
      <c r="Z60" s="37">
        <f t="shared" si="52"/>
        <v>0</v>
      </c>
      <c r="AB60" s="37">
        <f t="shared" si="53"/>
        <v>0</v>
      </c>
      <c r="AC60" s="37">
        <f t="shared" si="54"/>
        <v>0</v>
      </c>
      <c r="AD60" s="37">
        <f t="shared" si="55"/>
        <v>0</v>
      </c>
      <c r="AE60" s="37">
        <f t="shared" si="56"/>
        <v>0</v>
      </c>
      <c r="AF60" s="37">
        <f t="shared" si="57"/>
        <v>0</v>
      </c>
      <c r="AG60" s="37">
        <f t="shared" si="58"/>
        <v>0</v>
      </c>
      <c r="AH60" s="37">
        <f t="shared" si="59"/>
        <v>0</v>
      </c>
      <c r="AI60" s="28" t="s">
        <v>71</v>
      </c>
      <c r="AJ60" s="20">
        <f t="shared" si="60"/>
        <v>0</v>
      </c>
      <c r="AK60" s="20">
        <f t="shared" si="61"/>
        <v>0</v>
      </c>
      <c r="AL60" s="20">
        <f t="shared" si="62"/>
        <v>0</v>
      </c>
      <c r="AN60" s="37">
        <v>21</v>
      </c>
      <c r="AO60" s="37">
        <f t="shared" si="63"/>
        <v>0</v>
      </c>
      <c r="AP60" s="37">
        <f t="shared" si="64"/>
        <v>0</v>
      </c>
      <c r="AQ60" s="33" t="s">
        <v>282</v>
      </c>
      <c r="AV60" s="37">
        <f t="shared" si="65"/>
        <v>0</v>
      </c>
      <c r="AW60" s="37">
        <f t="shared" si="66"/>
        <v>0</v>
      </c>
      <c r="AX60" s="37">
        <f t="shared" si="67"/>
        <v>0</v>
      </c>
      <c r="AY60" s="38" t="s">
        <v>293</v>
      </c>
      <c r="AZ60" s="38" t="s">
        <v>307</v>
      </c>
      <c r="BA60" s="28" t="s">
        <v>312</v>
      </c>
      <c r="BC60" s="37">
        <f t="shared" si="68"/>
        <v>0</v>
      </c>
      <c r="BD60" s="37">
        <f t="shared" si="69"/>
        <v>0</v>
      </c>
      <c r="BE60" s="37">
        <v>0</v>
      </c>
      <c r="BF60" s="37">
        <f t="shared" si="70"/>
        <v>0</v>
      </c>
      <c r="BH60" s="20">
        <f t="shared" si="71"/>
        <v>0</v>
      </c>
      <c r="BI60" s="20">
        <f t="shared" si="72"/>
        <v>0</v>
      </c>
      <c r="BJ60" s="20">
        <f t="shared" si="73"/>
        <v>0</v>
      </c>
    </row>
    <row r="61" spans="1:62" ht="26.25">
      <c r="A61" s="6" t="s">
        <v>44</v>
      </c>
      <c r="B61" s="6" t="s">
        <v>71</v>
      </c>
      <c r="C61" s="6" t="s">
        <v>122</v>
      </c>
      <c r="D61" s="110" t="s">
        <v>205</v>
      </c>
      <c r="E61" s="6" t="s">
        <v>246</v>
      </c>
      <c r="F61" s="20">
        <v>1</v>
      </c>
      <c r="G61" s="19">
        <v>0</v>
      </c>
      <c r="H61" s="20">
        <f t="shared" si="48"/>
        <v>0</v>
      </c>
      <c r="I61" s="20">
        <f t="shared" si="49"/>
        <v>0</v>
      </c>
      <c r="J61" s="20">
        <f t="shared" si="50"/>
        <v>0</v>
      </c>
      <c r="K61" s="20">
        <v>0</v>
      </c>
      <c r="L61" s="20">
        <f t="shared" si="51"/>
        <v>0</v>
      </c>
      <c r="M61" s="33" t="s">
        <v>272</v>
      </c>
      <c r="Z61" s="37">
        <f t="shared" si="52"/>
        <v>0</v>
      </c>
      <c r="AB61" s="37">
        <f t="shared" si="53"/>
        <v>0</v>
      </c>
      <c r="AC61" s="37">
        <f t="shared" si="54"/>
        <v>0</v>
      </c>
      <c r="AD61" s="37">
        <f t="shared" si="55"/>
        <v>0</v>
      </c>
      <c r="AE61" s="37">
        <f t="shared" si="56"/>
        <v>0</v>
      </c>
      <c r="AF61" s="37">
        <f t="shared" si="57"/>
        <v>0</v>
      </c>
      <c r="AG61" s="37">
        <f t="shared" si="58"/>
        <v>0</v>
      </c>
      <c r="AH61" s="37">
        <f t="shared" si="59"/>
        <v>0</v>
      </c>
      <c r="AI61" s="28" t="s">
        <v>71</v>
      </c>
      <c r="AJ61" s="20">
        <f t="shared" si="60"/>
        <v>0</v>
      </c>
      <c r="AK61" s="20">
        <f t="shared" si="61"/>
        <v>0</v>
      </c>
      <c r="AL61" s="20">
        <f t="shared" si="62"/>
        <v>0</v>
      </c>
      <c r="AN61" s="37">
        <v>21</v>
      </c>
      <c r="AO61" s="37">
        <f t="shared" si="63"/>
        <v>0</v>
      </c>
      <c r="AP61" s="37">
        <f t="shared" si="64"/>
        <v>0</v>
      </c>
      <c r="AQ61" s="33" t="s">
        <v>282</v>
      </c>
      <c r="AV61" s="37">
        <f t="shared" si="65"/>
        <v>0</v>
      </c>
      <c r="AW61" s="37">
        <f t="shared" si="66"/>
        <v>0</v>
      </c>
      <c r="AX61" s="37">
        <f t="shared" si="67"/>
        <v>0</v>
      </c>
      <c r="AY61" s="38" t="s">
        <v>293</v>
      </c>
      <c r="AZ61" s="38" t="s">
        <v>307</v>
      </c>
      <c r="BA61" s="28" t="s">
        <v>312</v>
      </c>
      <c r="BC61" s="37">
        <f t="shared" si="68"/>
        <v>0</v>
      </c>
      <c r="BD61" s="37">
        <f t="shared" si="69"/>
        <v>0</v>
      </c>
      <c r="BE61" s="37">
        <v>0</v>
      </c>
      <c r="BF61" s="37">
        <f t="shared" si="70"/>
        <v>0</v>
      </c>
      <c r="BH61" s="20">
        <f t="shared" si="71"/>
        <v>0</v>
      </c>
      <c r="BI61" s="20">
        <f t="shared" si="72"/>
        <v>0</v>
      </c>
      <c r="BJ61" s="20">
        <f t="shared" si="73"/>
        <v>0</v>
      </c>
    </row>
    <row r="62" spans="1:62" ht="26.25">
      <c r="A62" s="6" t="s">
        <v>45</v>
      </c>
      <c r="B62" s="6" t="s">
        <v>71</v>
      </c>
      <c r="C62" s="6" t="s">
        <v>123</v>
      </c>
      <c r="D62" s="110" t="s">
        <v>206</v>
      </c>
      <c r="E62" s="6" t="s">
        <v>245</v>
      </c>
      <c r="F62" s="20">
        <v>40</v>
      </c>
      <c r="G62" s="19">
        <v>0</v>
      </c>
      <c r="H62" s="20">
        <f t="shared" si="48"/>
        <v>0</v>
      </c>
      <c r="I62" s="20">
        <f t="shared" si="49"/>
        <v>0</v>
      </c>
      <c r="J62" s="20">
        <f t="shared" si="50"/>
        <v>0</v>
      </c>
      <c r="K62" s="20">
        <v>0</v>
      </c>
      <c r="L62" s="20">
        <f t="shared" si="51"/>
        <v>0</v>
      </c>
      <c r="M62" s="33"/>
      <c r="Z62" s="37">
        <f t="shared" si="52"/>
        <v>0</v>
      </c>
      <c r="AB62" s="37">
        <f t="shared" si="53"/>
        <v>0</v>
      </c>
      <c r="AC62" s="37">
        <f t="shared" si="54"/>
        <v>0</v>
      </c>
      <c r="AD62" s="37">
        <f t="shared" si="55"/>
        <v>0</v>
      </c>
      <c r="AE62" s="37">
        <f t="shared" si="56"/>
        <v>0</v>
      </c>
      <c r="AF62" s="37">
        <f t="shared" si="57"/>
        <v>0</v>
      </c>
      <c r="AG62" s="37">
        <f t="shared" si="58"/>
        <v>0</v>
      </c>
      <c r="AH62" s="37">
        <f t="shared" si="59"/>
        <v>0</v>
      </c>
      <c r="AI62" s="28" t="s">
        <v>71</v>
      </c>
      <c r="AJ62" s="20">
        <f t="shared" si="60"/>
        <v>0</v>
      </c>
      <c r="AK62" s="20">
        <f t="shared" si="61"/>
        <v>0</v>
      </c>
      <c r="AL62" s="20">
        <f t="shared" si="62"/>
        <v>0</v>
      </c>
      <c r="AN62" s="37">
        <v>21</v>
      </c>
      <c r="AO62" s="37">
        <f t="shared" si="63"/>
        <v>0</v>
      </c>
      <c r="AP62" s="37">
        <f t="shared" si="64"/>
        <v>0</v>
      </c>
      <c r="AQ62" s="33" t="s">
        <v>282</v>
      </c>
      <c r="AV62" s="37">
        <f t="shared" si="65"/>
        <v>0</v>
      </c>
      <c r="AW62" s="37">
        <f t="shared" si="66"/>
        <v>0</v>
      </c>
      <c r="AX62" s="37">
        <f t="shared" si="67"/>
        <v>0</v>
      </c>
      <c r="AY62" s="38" t="s">
        <v>293</v>
      </c>
      <c r="AZ62" s="38" t="s">
        <v>307</v>
      </c>
      <c r="BA62" s="28" t="s">
        <v>312</v>
      </c>
      <c r="BC62" s="37">
        <f t="shared" si="68"/>
        <v>0</v>
      </c>
      <c r="BD62" s="37">
        <f t="shared" si="69"/>
        <v>0</v>
      </c>
      <c r="BE62" s="37">
        <v>0</v>
      </c>
      <c r="BF62" s="37">
        <f t="shared" si="70"/>
        <v>0</v>
      </c>
      <c r="BH62" s="20">
        <f t="shared" si="71"/>
        <v>0</v>
      </c>
      <c r="BI62" s="20">
        <f t="shared" si="72"/>
        <v>0</v>
      </c>
      <c r="BJ62" s="20">
        <f t="shared" si="73"/>
        <v>0</v>
      </c>
    </row>
    <row r="63" spans="1:62" ht="26.25">
      <c r="A63" s="6" t="s">
        <v>46</v>
      </c>
      <c r="B63" s="6" t="s">
        <v>71</v>
      </c>
      <c r="C63" s="6" t="s">
        <v>124</v>
      </c>
      <c r="D63" s="110" t="s">
        <v>207</v>
      </c>
      <c r="E63" s="6" t="s">
        <v>245</v>
      </c>
      <c r="F63" s="20">
        <v>160</v>
      </c>
      <c r="G63" s="19">
        <v>0</v>
      </c>
      <c r="H63" s="20">
        <f t="shared" si="48"/>
        <v>0</v>
      </c>
      <c r="I63" s="20">
        <f t="shared" si="49"/>
        <v>0</v>
      </c>
      <c r="J63" s="20">
        <f t="shared" si="50"/>
        <v>0</v>
      </c>
      <c r="K63" s="20">
        <v>0</v>
      </c>
      <c r="L63" s="20">
        <f t="shared" si="51"/>
        <v>0</v>
      </c>
      <c r="M63" s="33"/>
      <c r="Z63" s="37">
        <f t="shared" si="52"/>
        <v>0</v>
      </c>
      <c r="AB63" s="37">
        <f t="shared" si="53"/>
        <v>0</v>
      </c>
      <c r="AC63" s="37">
        <f t="shared" si="54"/>
        <v>0</v>
      </c>
      <c r="AD63" s="37">
        <f t="shared" si="55"/>
        <v>0</v>
      </c>
      <c r="AE63" s="37">
        <f t="shared" si="56"/>
        <v>0</v>
      </c>
      <c r="AF63" s="37">
        <f t="shared" si="57"/>
        <v>0</v>
      </c>
      <c r="AG63" s="37">
        <f t="shared" si="58"/>
        <v>0</v>
      </c>
      <c r="AH63" s="37">
        <f t="shared" si="59"/>
        <v>0</v>
      </c>
      <c r="AI63" s="28" t="s">
        <v>71</v>
      </c>
      <c r="AJ63" s="20">
        <f t="shared" si="60"/>
        <v>0</v>
      </c>
      <c r="AK63" s="20">
        <f t="shared" si="61"/>
        <v>0</v>
      </c>
      <c r="AL63" s="20">
        <f t="shared" si="62"/>
        <v>0</v>
      </c>
      <c r="AN63" s="37">
        <v>21</v>
      </c>
      <c r="AO63" s="37">
        <f t="shared" si="63"/>
        <v>0</v>
      </c>
      <c r="AP63" s="37">
        <f t="shared" si="64"/>
        <v>0</v>
      </c>
      <c r="AQ63" s="33" t="s">
        <v>282</v>
      </c>
      <c r="AV63" s="37">
        <f t="shared" si="65"/>
        <v>0</v>
      </c>
      <c r="AW63" s="37">
        <f t="shared" si="66"/>
        <v>0</v>
      </c>
      <c r="AX63" s="37">
        <f t="shared" si="67"/>
        <v>0</v>
      </c>
      <c r="AY63" s="38" t="s">
        <v>293</v>
      </c>
      <c r="AZ63" s="38" t="s">
        <v>307</v>
      </c>
      <c r="BA63" s="28" t="s">
        <v>312</v>
      </c>
      <c r="BC63" s="37">
        <f t="shared" si="68"/>
        <v>0</v>
      </c>
      <c r="BD63" s="37">
        <f t="shared" si="69"/>
        <v>0</v>
      </c>
      <c r="BE63" s="37">
        <v>0</v>
      </c>
      <c r="BF63" s="37">
        <f t="shared" si="70"/>
        <v>0</v>
      </c>
      <c r="BH63" s="20">
        <f t="shared" si="71"/>
        <v>0</v>
      </c>
      <c r="BI63" s="20">
        <f t="shared" si="72"/>
        <v>0</v>
      </c>
      <c r="BJ63" s="20">
        <f t="shared" si="73"/>
        <v>0</v>
      </c>
    </row>
    <row r="64" spans="1:13" ht="12.75">
      <c r="A64" s="7"/>
      <c r="B64" s="15" t="s">
        <v>72</v>
      </c>
      <c r="C64" s="15"/>
      <c r="D64" s="15" t="s">
        <v>208</v>
      </c>
      <c r="E64" s="7" t="s">
        <v>6</v>
      </c>
      <c r="F64" s="7" t="s">
        <v>6</v>
      </c>
      <c r="G64" s="7" t="s">
        <v>6</v>
      </c>
      <c r="H64" s="41">
        <f>H65+H67+H70+H73+H75+H84+H86</f>
        <v>0</v>
      </c>
      <c r="I64" s="41">
        <f>I65+I67+I70+I73+I75+I84+I86</f>
        <v>0</v>
      </c>
      <c r="J64" s="41">
        <f>J65+J67+J70+J73+J75+J84+J86</f>
        <v>0</v>
      </c>
      <c r="K64" s="29"/>
      <c r="L64" s="41">
        <f>L65+L67+L70+L73+L75+L84+L86</f>
        <v>0.17139900000000002</v>
      </c>
      <c r="M64" s="29"/>
    </row>
    <row r="65" spans="1:47" ht="12.75">
      <c r="A65" s="4"/>
      <c r="B65" s="14" t="s">
        <v>72</v>
      </c>
      <c r="C65" s="14" t="s">
        <v>125</v>
      </c>
      <c r="D65" s="14" t="s">
        <v>209</v>
      </c>
      <c r="E65" s="4" t="s">
        <v>6</v>
      </c>
      <c r="F65" s="4" t="s">
        <v>6</v>
      </c>
      <c r="G65" s="4" t="s">
        <v>6</v>
      </c>
      <c r="H65" s="40">
        <f>SUM(H66:H66)</f>
        <v>0</v>
      </c>
      <c r="I65" s="40">
        <f>SUM(I66:I66)</f>
        <v>0</v>
      </c>
      <c r="J65" s="40">
        <f>SUM(J66:J66)</f>
        <v>0</v>
      </c>
      <c r="K65" s="28"/>
      <c r="L65" s="40">
        <f>SUM(L66:L66)</f>
        <v>0.00042</v>
      </c>
      <c r="M65" s="28"/>
      <c r="AI65" s="28" t="s">
        <v>72</v>
      </c>
      <c r="AS65" s="40">
        <f>SUM(AJ66:AJ66)</f>
        <v>0</v>
      </c>
      <c r="AT65" s="40">
        <f>SUM(AK66:AK66)</f>
        <v>0</v>
      </c>
      <c r="AU65" s="40">
        <f>SUM(AL66:AL66)</f>
        <v>0</v>
      </c>
    </row>
    <row r="66" spans="1:62" ht="26.25">
      <c r="A66" s="5" t="s">
        <v>47</v>
      </c>
      <c r="B66" s="5" t="s">
        <v>72</v>
      </c>
      <c r="C66" s="5" t="s">
        <v>126</v>
      </c>
      <c r="D66" s="109" t="s">
        <v>210</v>
      </c>
      <c r="E66" s="5" t="s">
        <v>252</v>
      </c>
      <c r="F66" s="19">
        <v>2</v>
      </c>
      <c r="G66" s="19">
        <v>0</v>
      </c>
      <c r="H66" s="19">
        <f>F66*AO66</f>
        <v>0</v>
      </c>
      <c r="I66" s="19">
        <f>F66*AP66</f>
        <v>0</v>
      </c>
      <c r="J66" s="19">
        <f>F66*G66</f>
        <v>0</v>
      </c>
      <c r="K66" s="19">
        <v>0.00021</v>
      </c>
      <c r="L66" s="19">
        <f>F66*K66</f>
        <v>0.00042</v>
      </c>
      <c r="M66" s="32" t="s">
        <v>272</v>
      </c>
      <c r="Z66" s="37">
        <f>IF(AQ66="5",BJ66,0)</f>
        <v>0</v>
      </c>
      <c r="AB66" s="37">
        <f>IF(AQ66="1",BH66,0)</f>
        <v>0</v>
      </c>
      <c r="AC66" s="37">
        <f>IF(AQ66="1",BI66,0)</f>
        <v>0</v>
      </c>
      <c r="AD66" s="37">
        <f>IF(AQ66="7",BH66,0)</f>
        <v>0</v>
      </c>
      <c r="AE66" s="37">
        <f>IF(AQ66="7",BI66,0)</f>
        <v>0</v>
      </c>
      <c r="AF66" s="37">
        <f>IF(AQ66="2",BH66,0)</f>
        <v>0</v>
      </c>
      <c r="AG66" s="37">
        <f>IF(AQ66="2",BI66,0)</f>
        <v>0</v>
      </c>
      <c r="AH66" s="37">
        <f>IF(AQ66="0",BJ66,0)</f>
        <v>0</v>
      </c>
      <c r="AI66" s="28" t="s">
        <v>72</v>
      </c>
      <c r="AJ66" s="19">
        <f>IF(AN66=0,J66,0)</f>
        <v>0</v>
      </c>
      <c r="AK66" s="19">
        <f>IF(AN66=15,J66,0)</f>
        <v>0</v>
      </c>
      <c r="AL66" s="19">
        <f>IF(AN66=21,J66,0)</f>
        <v>0</v>
      </c>
      <c r="AN66" s="37">
        <v>21</v>
      </c>
      <c r="AO66" s="37">
        <f>G66*0.258308486238532</f>
        <v>0</v>
      </c>
      <c r="AP66" s="37">
        <f>G66*(1-0.258308486238532)</f>
        <v>0</v>
      </c>
      <c r="AQ66" s="32" t="s">
        <v>13</v>
      </c>
      <c r="AV66" s="37">
        <f>AW66+AX66</f>
        <v>0</v>
      </c>
      <c r="AW66" s="37">
        <f>F66*AO66</f>
        <v>0</v>
      </c>
      <c r="AX66" s="37">
        <f>F66*AP66</f>
        <v>0</v>
      </c>
      <c r="AY66" s="38" t="s">
        <v>294</v>
      </c>
      <c r="AZ66" s="38" t="s">
        <v>308</v>
      </c>
      <c r="BA66" s="28" t="s">
        <v>313</v>
      </c>
      <c r="BC66" s="37">
        <f>AW66+AX66</f>
        <v>0</v>
      </c>
      <c r="BD66" s="37">
        <f>G66/(100-BE66)*100</f>
        <v>0</v>
      </c>
      <c r="BE66" s="37">
        <v>0</v>
      </c>
      <c r="BF66" s="37">
        <f>L66</f>
        <v>0.00042</v>
      </c>
      <c r="BH66" s="19">
        <f>F66*AO66</f>
        <v>0</v>
      </c>
      <c r="BI66" s="19">
        <f>F66*AP66</f>
        <v>0</v>
      </c>
      <c r="BJ66" s="19">
        <f>F66*G66</f>
        <v>0</v>
      </c>
    </row>
    <row r="67" spans="1:47" ht="12.75">
      <c r="A67" s="4"/>
      <c r="B67" s="14" t="s">
        <v>72</v>
      </c>
      <c r="C67" s="14" t="s">
        <v>127</v>
      </c>
      <c r="D67" s="14" t="s">
        <v>211</v>
      </c>
      <c r="E67" s="4" t="s">
        <v>6</v>
      </c>
      <c r="F67" s="4" t="s">
        <v>6</v>
      </c>
      <c r="G67" s="4" t="s">
        <v>6</v>
      </c>
      <c r="H67" s="40">
        <f>SUM(H68:H69)</f>
        <v>0</v>
      </c>
      <c r="I67" s="40">
        <f>SUM(I68:I69)</f>
        <v>0</v>
      </c>
      <c r="J67" s="40">
        <f>SUM(J68:J69)</f>
        <v>0</v>
      </c>
      <c r="K67" s="28"/>
      <c r="L67" s="40">
        <f>SUM(L68:L69)</f>
        <v>0.00417</v>
      </c>
      <c r="M67" s="28"/>
      <c r="AI67" s="28" t="s">
        <v>72</v>
      </c>
      <c r="AS67" s="40">
        <f>SUM(AJ68:AJ69)</f>
        <v>0</v>
      </c>
      <c r="AT67" s="40">
        <f>SUM(AK68:AK69)</f>
        <v>0</v>
      </c>
      <c r="AU67" s="40">
        <f>SUM(AL68:AL69)</f>
        <v>0</v>
      </c>
    </row>
    <row r="68" spans="1:62" ht="26.25">
      <c r="A68" s="5" t="s">
        <v>48</v>
      </c>
      <c r="B68" s="5" t="s">
        <v>72</v>
      </c>
      <c r="C68" s="5" t="s">
        <v>128</v>
      </c>
      <c r="D68" s="109" t="s">
        <v>212</v>
      </c>
      <c r="E68" s="5" t="s">
        <v>245</v>
      </c>
      <c r="F68" s="19">
        <v>1.2</v>
      </c>
      <c r="G68" s="19">
        <v>0</v>
      </c>
      <c r="H68" s="19">
        <f>F68*AO68</f>
        <v>0</v>
      </c>
      <c r="I68" s="19">
        <f>F68*AP68</f>
        <v>0</v>
      </c>
      <c r="J68" s="19">
        <f>F68*G68</f>
        <v>0</v>
      </c>
      <c r="K68" s="19">
        <v>0.00259</v>
      </c>
      <c r="L68" s="19">
        <f>F68*K68</f>
        <v>0.0031079999999999997</v>
      </c>
      <c r="M68" s="32" t="s">
        <v>272</v>
      </c>
      <c r="Z68" s="37">
        <f>IF(AQ68="5",BJ68,0)</f>
        <v>0</v>
      </c>
      <c r="AB68" s="37">
        <f>IF(AQ68="1",BH68,0)</f>
        <v>0</v>
      </c>
      <c r="AC68" s="37">
        <f>IF(AQ68="1",BI68,0)</f>
        <v>0</v>
      </c>
      <c r="AD68" s="37">
        <f>IF(AQ68="7",BH68,0)</f>
        <v>0</v>
      </c>
      <c r="AE68" s="37">
        <f>IF(AQ68="7",BI68,0)</f>
        <v>0</v>
      </c>
      <c r="AF68" s="37">
        <f>IF(AQ68="2",BH68,0)</f>
        <v>0</v>
      </c>
      <c r="AG68" s="37">
        <f>IF(AQ68="2",BI68,0)</f>
        <v>0</v>
      </c>
      <c r="AH68" s="37">
        <f>IF(AQ68="0",BJ68,0)</f>
        <v>0</v>
      </c>
      <c r="AI68" s="28" t="s">
        <v>72</v>
      </c>
      <c r="AJ68" s="19">
        <f>IF(AN68=0,J68,0)</f>
        <v>0</v>
      </c>
      <c r="AK68" s="19">
        <f>IF(AN68=15,J68,0)</f>
        <v>0</v>
      </c>
      <c r="AL68" s="19">
        <f>IF(AN68=21,J68,0)</f>
        <v>0</v>
      </c>
      <c r="AN68" s="37">
        <v>21</v>
      </c>
      <c r="AO68" s="37">
        <f>G68*0.415366197183099</f>
        <v>0</v>
      </c>
      <c r="AP68" s="37">
        <f>G68*(1-0.415366197183099)</f>
        <v>0</v>
      </c>
      <c r="AQ68" s="32" t="s">
        <v>13</v>
      </c>
      <c r="AV68" s="37">
        <f>AW68+AX68</f>
        <v>0</v>
      </c>
      <c r="AW68" s="37">
        <f>F68*AO68</f>
        <v>0</v>
      </c>
      <c r="AX68" s="37">
        <f>F68*AP68</f>
        <v>0</v>
      </c>
      <c r="AY68" s="38" t="s">
        <v>295</v>
      </c>
      <c r="AZ68" s="38" t="s">
        <v>309</v>
      </c>
      <c r="BA68" s="28" t="s">
        <v>313</v>
      </c>
      <c r="BC68" s="37">
        <f>AW68+AX68</f>
        <v>0</v>
      </c>
      <c r="BD68" s="37">
        <f>G68/(100-BE68)*100</f>
        <v>0</v>
      </c>
      <c r="BE68" s="37">
        <v>0</v>
      </c>
      <c r="BF68" s="37">
        <f>L68</f>
        <v>0.0031079999999999997</v>
      </c>
      <c r="BH68" s="19">
        <f>F68*AO68</f>
        <v>0</v>
      </c>
      <c r="BI68" s="19">
        <f>F68*AP68</f>
        <v>0</v>
      </c>
      <c r="BJ68" s="19">
        <f>F68*G68</f>
        <v>0</v>
      </c>
    </row>
    <row r="69" spans="1:62" ht="26.25">
      <c r="A69" s="5" t="s">
        <v>49</v>
      </c>
      <c r="B69" s="5" t="s">
        <v>72</v>
      </c>
      <c r="C69" s="5" t="s">
        <v>129</v>
      </c>
      <c r="D69" s="109" t="s">
        <v>213</v>
      </c>
      <c r="E69" s="5" t="s">
        <v>245</v>
      </c>
      <c r="F69" s="19">
        <v>0.6</v>
      </c>
      <c r="G69" s="19">
        <v>0</v>
      </c>
      <c r="H69" s="19">
        <f>F69*AO69</f>
        <v>0</v>
      </c>
      <c r="I69" s="19">
        <f>F69*AP69</f>
        <v>0</v>
      </c>
      <c r="J69" s="19">
        <f>F69*G69</f>
        <v>0</v>
      </c>
      <c r="K69" s="19">
        <v>0.00177</v>
      </c>
      <c r="L69" s="19">
        <f>F69*K69</f>
        <v>0.001062</v>
      </c>
      <c r="M69" s="32" t="s">
        <v>272</v>
      </c>
      <c r="Z69" s="37">
        <f>IF(AQ69="5",BJ69,0)</f>
        <v>0</v>
      </c>
      <c r="AB69" s="37">
        <f>IF(AQ69="1",BH69,0)</f>
        <v>0</v>
      </c>
      <c r="AC69" s="37">
        <f>IF(AQ69="1",BI69,0)</f>
        <v>0</v>
      </c>
      <c r="AD69" s="37">
        <f>IF(AQ69="7",BH69,0)</f>
        <v>0</v>
      </c>
      <c r="AE69" s="37">
        <f>IF(AQ69="7",BI69,0)</f>
        <v>0</v>
      </c>
      <c r="AF69" s="37">
        <f>IF(AQ69="2",BH69,0)</f>
        <v>0</v>
      </c>
      <c r="AG69" s="37">
        <f>IF(AQ69="2",BI69,0)</f>
        <v>0</v>
      </c>
      <c r="AH69" s="37">
        <f>IF(AQ69="0",BJ69,0)</f>
        <v>0</v>
      </c>
      <c r="AI69" s="28" t="s">
        <v>72</v>
      </c>
      <c r="AJ69" s="19">
        <f>IF(AN69=0,J69,0)</f>
        <v>0</v>
      </c>
      <c r="AK69" s="19">
        <f>IF(AN69=15,J69,0)</f>
        <v>0</v>
      </c>
      <c r="AL69" s="19">
        <f>IF(AN69=21,J69,0)</f>
        <v>0</v>
      </c>
      <c r="AN69" s="37">
        <v>21</v>
      </c>
      <c r="AO69" s="37">
        <f>G69*0.370695970695971</f>
        <v>0</v>
      </c>
      <c r="AP69" s="37">
        <f>G69*(1-0.370695970695971)</f>
        <v>0</v>
      </c>
      <c r="AQ69" s="32" t="s">
        <v>13</v>
      </c>
      <c r="AV69" s="37">
        <f>AW69+AX69</f>
        <v>0</v>
      </c>
      <c r="AW69" s="37">
        <f>F69*AO69</f>
        <v>0</v>
      </c>
      <c r="AX69" s="37">
        <f>F69*AP69</f>
        <v>0</v>
      </c>
      <c r="AY69" s="38" t="s">
        <v>295</v>
      </c>
      <c r="AZ69" s="38" t="s">
        <v>309</v>
      </c>
      <c r="BA69" s="28" t="s">
        <v>313</v>
      </c>
      <c r="BC69" s="37">
        <f>AW69+AX69</f>
        <v>0</v>
      </c>
      <c r="BD69" s="37">
        <f>G69/(100-BE69)*100</f>
        <v>0</v>
      </c>
      <c r="BE69" s="37">
        <v>0</v>
      </c>
      <c r="BF69" s="37">
        <f>L69</f>
        <v>0.001062</v>
      </c>
      <c r="BH69" s="19">
        <f>F69*AO69</f>
        <v>0</v>
      </c>
      <c r="BI69" s="19">
        <f>F69*AP69</f>
        <v>0</v>
      </c>
      <c r="BJ69" s="19">
        <f>F69*G69</f>
        <v>0</v>
      </c>
    </row>
    <row r="70" spans="1:47" ht="12.75">
      <c r="A70" s="4"/>
      <c r="B70" s="14" t="s">
        <v>72</v>
      </c>
      <c r="C70" s="14" t="s">
        <v>130</v>
      </c>
      <c r="D70" s="14" t="s">
        <v>214</v>
      </c>
      <c r="E70" s="4" t="s">
        <v>6</v>
      </c>
      <c r="F70" s="4" t="s">
        <v>6</v>
      </c>
      <c r="G70" s="4" t="s">
        <v>6</v>
      </c>
      <c r="H70" s="40">
        <f>SUM(H71:H72)</f>
        <v>0</v>
      </c>
      <c r="I70" s="40">
        <f>SUM(I71:I72)</f>
        <v>0</v>
      </c>
      <c r="J70" s="40">
        <f>SUM(J71:J72)</f>
        <v>0</v>
      </c>
      <c r="K70" s="28"/>
      <c r="L70" s="40">
        <f>SUM(L71:L72)</f>
        <v>0</v>
      </c>
      <c r="M70" s="28"/>
      <c r="AI70" s="28" t="s">
        <v>72</v>
      </c>
      <c r="AS70" s="40">
        <f>SUM(AJ71:AJ72)</f>
        <v>0</v>
      </c>
      <c r="AT70" s="40">
        <f>SUM(AK71:AK72)</f>
        <v>0</v>
      </c>
      <c r="AU70" s="40">
        <f>SUM(AL71:AL72)</f>
        <v>0</v>
      </c>
    </row>
    <row r="71" spans="1:62" ht="26.25">
      <c r="A71" s="5" t="s">
        <v>50</v>
      </c>
      <c r="B71" s="5" t="s">
        <v>72</v>
      </c>
      <c r="C71" s="5" t="s">
        <v>131</v>
      </c>
      <c r="D71" s="109" t="s">
        <v>215</v>
      </c>
      <c r="E71" s="5" t="s">
        <v>247</v>
      </c>
      <c r="F71" s="19">
        <v>1</v>
      </c>
      <c r="G71" s="19">
        <v>0</v>
      </c>
      <c r="H71" s="19">
        <f>F71*AO71</f>
        <v>0</v>
      </c>
      <c r="I71" s="19">
        <f>F71*AP71</f>
        <v>0</v>
      </c>
      <c r="J71" s="19">
        <f>F71*G71</f>
        <v>0</v>
      </c>
      <c r="K71" s="19">
        <v>0</v>
      </c>
      <c r="L71" s="19">
        <f>F71*K71</f>
        <v>0</v>
      </c>
      <c r="M71" s="32"/>
      <c r="Z71" s="37">
        <f>IF(AQ71="5",BJ71,0)</f>
        <v>0</v>
      </c>
      <c r="AB71" s="37">
        <f>IF(AQ71="1",BH71,0)</f>
        <v>0</v>
      </c>
      <c r="AC71" s="37">
        <f>IF(AQ71="1",BI71,0)</f>
        <v>0</v>
      </c>
      <c r="AD71" s="37">
        <f>IF(AQ71="7",BH71,0)</f>
        <v>0</v>
      </c>
      <c r="AE71" s="37">
        <f>IF(AQ71="7",BI71,0)</f>
        <v>0</v>
      </c>
      <c r="AF71" s="37">
        <f>IF(AQ71="2",BH71,0)</f>
        <v>0</v>
      </c>
      <c r="AG71" s="37">
        <f>IF(AQ71="2",BI71,0)</f>
        <v>0</v>
      </c>
      <c r="AH71" s="37">
        <f>IF(AQ71="0",BJ71,0)</f>
        <v>0</v>
      </c>
      <c r="AI71" s="28" t="s">
        <v>72</v>
      </c>
      <c r="AJ71" s="19">
        <f>IF(AN71=0,J71,0)</f>
        <v>0</v>
      </c>
      <c r="AK71" s="19">
        <f>IF(AN71=15,J71,0)</f>
        <v>0</v>
      </c>
      <c r="AL71" s="19">
        <f>IF(AN71=21,J71,0)</f>
        <v>0</v>
      </c>
      <c r="AN71" s="37">
        <v>21</v>
      </c>
      <c r="AO71" s="37">
        <f>G71*0.359223300970874</f>
        <v>0</v>
      </c>
      <c r="AP71" s="37">
        <f>G71*(1-0.359223300970874)</f>
        <v>0</v>
      </c>
      <c r="AQ71" s="32" t="s">
        <v>7</v>
      </c>
      <c r="AV71" s="37">
        <f>AW71+AX71</f>
        <v>0</v>
      </c>
      <c r="AW71" s="37">
        <f>F71*AO71</f>
        <v>0</v>
      </c>
      <c r="AX71" s="37">
        <f>F71*AP71</f>
        <v>0</v>
      </c>
      <c r="AY71" s="38" t="s">
        <v>296</v>
      </c>
      <c r="AZ71" s="38" t="s">
        <v>310</v>
      </c>
      <c r="BA71" s="28" t="s">
        <v>313</v>
      </c>
      <c r="BC71" s="37">
        <f>AW71+AX71</f>
        <v>0</v>
      </c>
      <c r="BD71" s="37">
        <f>G71/(100-BE71)*100</f>
        <v>0</v>
      </c>
      <c r="BE71" s="37">
        <v>0</v>
      </c>
      <c r="BF71" s="37">
        <f>L71</f>
        <v>0</v>
      </c>
      <c r="BH71" s="19">
        <f>F71*AO71</f>
        <v>0</v>
      </c>
      <c r="BI71" s="19">
        <f>F71*AP71</f>
        <v>0</v>
      </c>
      <c r="BJ71" s="19">
        <f>F71*G71</f>
        <v>0</v>
      </c>
    </row>
    <row r="72" spans="1:62" ht="26.25">
      <c r="A72" s="5" t="s">
        <v>51</v>
      </c>
      <c r="B72" s="5" t="s">
        <v>72</v>
      </c>
      <c r="C72" s="5" t="s">
        <v>132</v>
      </c>
      <c r="D72" s="109" t="s">
        <v>216</v>
      </c>
      <c r="E72" s="5" t="s">
        <v>247</v>
      </c>
      <c r="F72" s="19">
        <v>1</v>
      </c>
      <c r="G72" s="19">
        <v>0</v>
      </c>
      <c r="H72" s="19">
        <f>F72*AO72</f>
        <v>0</v>
      </c>
      <c r="I72" s="19">
        <f>F72*AP72</f>
        <v>0</v>
      </c>
      <c r="J72" s="19">
        <f>F72*G72</f>
        <v>0</v>
      </c>
      <c r="K72" s="19">
        <v>0</v>
      </c>
      <c r="L72" s="19">
        <f>F72*K72</f>
        <v>0</v>
      </c>
      <c r="M72" s="32"/>
      <c r="Z72" s="37">
        <f>IF(AQ72="5",BJ72,0)</f>
        <v>0</v>
      </c>
      <c r="AB72" s="37">
        <f>IF(AQ72="1",BH72,0)</f>
        <v>0</v>
      </c>
      <c r="AC72" s="37">
        <f>IF(AQ72="1",BI72,0)</f>
        <v>0</v>
      </c>
      <c r="AD72" s="37">
        <f>IF(AQ72="7",BH72,0)</f>
        <v>0</v>
      </c>
      <c r="AE72" s="37">
        <f>IF(AQ72="7",BI72,0)</f>
        <v>0</v>
      </c>
      <c r="AF72" s="37">
        <f>IF(AQ72="2",BH72,0)</f>
        <v>0</v>
      </c>
      <c r="AG72" s="37">
        <f>IF(AQ72="2",BI72,0)</f>
        <v>0</v>
      </c>
      <c r="AH72" s="37">
        <f>IF(AQ72="0",BJ72,0)</f>
        <v>0</v>
      </c>
      <c r="AI72" s="28" t="s">
        <v>72</v>
      </c>
      <c r="AJ72" s="19">
        <f>IF(AN72=0,J72,0)</f>
        <v>0</v>
      </c>
      <c r="AK72" s="19">
        <f>IF(AN72=15,J72,0)</f>
        <v>0</v>
      </c>
      <c r="AL72" s="19">
        <f>IF(AN72=21,J72,0)</f>
        <v>0</v>
      </c>
      <c r="AN72" s="37">
        <v>21</v>
      </c>
      <c r="AO72" s="37">
        <f>G72*0.352517985611511</f>
        <v>0</v>
      </c>
      <c r="AP72" s="37">
        <f>G72*(1-0.352517985611511)</f>
        <v>0</v>
      </c>
      <c r="AQ72" s="32" t="s">
        <v>7</v>
      </c>
      <c r="AV72" s="37">
        <f>AW72+AX72</f>
        <v>0</v>
      </c>
      <c r="AW72" s="37">
        <f>F72*AO72</f>
        <v>0</v>
      </c>
      <c r="AX72" s="37">
        <f>F72*AP72</f>
        <v>0</v>
      </c>
      <c r="AY72" s="38" t="s">
        <v>296</v>
      </c>
      <c r="AZ72" s="38" t="s">
        <v>310</v>
      </c>
      <c r="BA72" s="28" t="s">
        <v>313</v>
      </c>
      <c r="BC72" s="37">
        <f>AW72+AX72</f>
        <v>0</v>
      </c>
      <c r="BD72" s="37">
        <f>G72/(100-BE72)*100</f>
        <v>0</v>
      </c>
      <c r="BE72" s="37">
        <v>0</v>
      </c>
      <c r="BF72" s="37">
        <f>L72</f>
        <v>0</v>
      </c>
      <c r="BH72" s="19">
        <f>F72*AO72</f>
        <v>0</v>
      </c>
      <c r="BI72" s="19">
        <f>F72*AP72</f>
        <v>0</v>
      </c>
      <c r="BJ72" s="19">
        <f>F72*G72</f>
        <v>0</v>
      </c>
    </row>
    <row r="73" spans="1:47" ht="12.75">
      <c r="A73" s="4"/>
      <c r="B73" s="14" t="s">
        <v>72</v>
      </c>
      <c r="C73" s="14" t="s">
        <v>133</v>
      </c>
      <c r="D73" s="14" t="s">
        <v>217</v>
      </c>
      <c r="E73" s="4" t="s">
        <v>6</v>
      </c>
      <c r="F73" s="4" t="s">
        <v>6</v>
      </c>
      <c r="G73" s="4" t="s">
        <v>6</v>
      </c>
      <c r="H73" s="40">
        <f>SUM(H74:H74)</f>
        <v>0</v>
      </c>
      <c r="I73" s="40">
        <f>SUM(I74:I74)</f>
        <v>0</v>
      </c>
      <c r="J73" s="40">
        <f>SUM(J74:J74)</f>
        <v>0</v>
      </c>
      <c r="K73" s="28"/>
      <c r="L73" s="40">
        <f>SUM(L74:L74)</f>
        <v>0.1343</v>
      </c>
      <c r="M73" s="28"/>
      <c r="AI73" s="28" t="s">
        <v>72</v>
      </c>
      <c r="AS73" s="40">
        <f>SUM(AJ74:AJ74)</f>
        <v>0</v>
      </c>
      <c r="AT73" s="40">
        <f>SUM(AK74:AK74)</f>
        <v>0</v>
      </c>
      <c r="AU73" s="40">
        <f>SUM(AL74:AL74)</f>
        <v>0</v>
      </c>
    </row>
    <row r="74" spans="1:62" ht="12.75">
      <c r="A74" s="5" t="s">
        <v>52</v>
      </c>
      <c r="B74" s="5" t="s">
        <v>72</v>
      </c>
      <c r="C74" s="5" t="s">
        <v>134</v>
      </c>
      <c r="D74" s="5" t="s">
        <v>218</v>
      </c>
      <c r="E74" s="5" t="s">
        <v>252</v>
      </c>
      <c r="F74" s="19">
        <v>85</v>
      </c>
      <c r="G74" s="19">
        <v>0</v>
      </c>
      <c r="H74" s="19">
        <f>F74*AO74</f>
        <v>0</v>
      </c>
      <c r="I74" s="19">
        <f>F74*AP74</f>
        <v>0</v>
      </c>
      <c r="J74" s="19">
        <f>F74*G74</f>
        <v>0</v>
      </c>
      <c r="K74" s="19">
        <v>0.00158</v>
      </c>
      <c r="L74" s="19">
        <f>F74*K74</f>
        <v>0.1343</v>
      </c>
      <c r="M74" s="32" t="s">
        <v>272</v>
      </c>
      <c r="Z74" s="37">
        <f>IF(AQ74="5",BJ74,0)</f>
        <v>0</v>
      </c>
      <c r="AB74" s="37">
        <f>IF(AQ74="1",BH74,0)</f>
        <v>0</v>
      </c>
      <c r="AC74" s="37">
        <f>IF(AQ74="1",BI74,0)</f>
        <v>0</v>
      </c>
      <c r="AD74" s="37">
        <f>IF(AQ74="7",BH74,0)</f>
        <v>0</v>
      </c>
      <c r="AE74" s="37">
        <f>IF(AQ74="7",BI74,0)</f>
        <v>0</v>
      </c>
      <c r="AF74" s="37">
        <f>IF(AQ74="2",BH74,0)</f>
        <v>0</v>
      </c>
      <c r="AG74" s="37">
        <f>IF(AQ74="2",BI74,0)</f>
        <v>0</v>
      </c>
      <c r="AH74" s="37">
        <f>IF(AQ74="0",BJ74,0)</f>
        <v>0</v>
      </c>
      <c r="AI74" s="28" t="s">
        <v>72</v>
      </c>
      <c r="AJ74" s="19">
        <f>IF(AN74=0,J74,0)</f>
        <v>0</v>
      </c>
      <c r="AK74" s="19">
        <f>IF(AN74=15,J74,0)</f>
        <v>0</v>
      </c>
      <c r="AL74" s="19">
        <f>IF(AN74=21,J74,0)</f>
        <v>0</v>
      </c>
      <c r="AN74" s="37">
        <v>21</v>
      </c>
      <c r="AO74" s="37">
        <f>G74*0.35578947368421</f>
        <v>0</v>
      </c>
      <c r="AP74" s="37">
        <f>G74*(1-0.35578947368421)</f>
        <v>0</v>
      </c>
      <c r="AQ74" s="32" t="s">
        <v>7</v>
      </c>
      <c r="AV74" s="37">
        <f>AW74+AX74</f>
        <v>0</v>
      </c>
      <c r="AW74" s="37">
        <f>F74*AO74</f>
        <v>0</v>
      </c>
      <c r="AX74" s="37">
        <f>F74*AP74</f>
        <v>0</v>
      </c>
      <c r="AY74" s="38" t="s">
        <v>297</v>
      </c>
      <c r="AZ74" s="38" t="s">
        <v>310</v>
      </c>
      <c r="BA74" s="28" t="s">
        <v>313</v>
      </c>
      <c r="BC74" s="37">
        <f>AW74+AX74</f>
        <v>0</v>
      </c>
      <c r="BD74" s="37">
        <f>G74/(100-BE74)*100</f>
        <v>0</v>
      </c>
      <c r="BE74" s="37">
        <v>0</v>
      </c>
      <c r="BF74" s="37">
        <f>L74</f>
        <v>0.1343</v>
      </c>
      <c r="BH74" s="19">
        <f>F74*AO74</f>
        <v>0</v>
      </c>
      <c r="BI74" s="19">
        <f>F74*AP74</f>
        <v>0</v>
      </c>
      <c r="BJ74" s="19">
        <f>F74*G74</f>
        <v>0</v>
      </c>
    </row>
    <row r="75" spans="1:47" ht="12.75">
      <c r="A75" s="4"/>
      <c r="B75" s="14" t="s">
        <v>72</v>
      </c>
      <c r="C75" s="14" t="s">
        <v>135</v>
      </c>
      <c r="D75" s="14" t="s">
        <v>219</v>
      </c>
      <c r="E75" s="4" t="s">
        <v>6</v>
      </c>
      <c r="F75" s="4" t="s">
        <v>6</v>
      </c>
      <c r="G75" s="4" t="s">
        <v>6</v>
      </c>
      <c r="H75" s="40">
        <f>SUM(H76:H83)</f>
        <v>0</v>
      </c>
      <c r="I75" s="40">
        <f>SUM(I76:I83)</f>
        <v>0</v>
      </c>
      <c r="J75" s="40">
        <f>SUM(J76:J83)</f>
        <v>0</v>
      </c>
      <c r="K75" s="28"/>
      <c r="L75" s="40">
        <f>SUM(L76:L83)</f>
        <v>0.032509</v>
      </c>
      <c r="M75" s="28"/>
      <c r="AI75" s="28" t="s">
        <v>72</v>
      </c>
      <c r="AS75" s="40">
        <f>SUM(AJ76:AJ83)</f>
        <v>0</v>
      </c>
      <c r="AT75" s="40">
        <f>SUM(AK76:AK83)</f>
        <v>0</v>
      </c>
      <c r="AU75" s="40">
        <f>SUM(AL76:AL83)</f>
        <v>0</v>
      </c>
    </row>
    <row r="76" spans="1:62" ht="12.75">
      <c r="A76" s="5" t="s">
        <v>53</v>
      </c>
      <c r="B76" s="5" t="s">
        <v>72</v>
      </c>
      <c r="C76" s="5" t="s">
        <v>136</v>
      </c>
      <c r="D76" s="5" t="s">
        <v>220</v>
      </c>
      <c r="E76" s="5" t="s">
        <v>245</v>
      </c>
      <c r="F76" s="19">
        <v>1.2</v>
      </c>
      <c r="G76" s="19">
        <v>0</v>
      </c>
      <c r="H76" s="19">
        <f aca="true" t="shared" si="74" ref="H76:H83">F76*AO76</f>
        <v>0</v>
      </c>
      <c r="I76" s="19">
        <f aca="true" t="shared" si="75" ref="I76:I83">F76*AP76</f>
        <v>0</v>
      </c>
      <c r="J76" s="19">
        <f aca="true" t="shared" si="76" ref="J76:J83">F76*G76</f>
        <v>0</v>
      </c>
      <c r="K76" s="19">
        <v>0.00263</v>
      </c>
      <c r="L76" s="19">
        <f aca="true" t="shared" si="77" ref="L76:L83">F76*K76</f>
        <v>0.003156</v>
      </c>
      <c r="M76" s="32" t="s">
        <v>272</v>
      </c>
      <c r="Z76" s="37">
        <f aca="true" t="shared" si="78" ref="Z76:Z83">IF(AQ76="5",BJ76,0)</f>
        <v>0</v>
      </c>
      <c r="AB76" s="37">
        <f aca="true" t="shared" si="79" ref="AB76:AB83">IF(AQ76="1",BH76,0)</f>
        <v>0</v>
      </c>
      <c r="AC76" s="37">
        <f aca="true" t="shared" si="80" ref="AC76:AC83">IF(AQ76="1",BI76,0)</f>
        <v>0</v>
      </c>
      <c r="AD76" s="37">
        <f aca="true" t="shared" si="81" ref="AD76:AD83">IF(AQ76="7",BH76,0)</f>
        <v>0</v>
      </c>
      <c r="AE76" s="37">
        <f aca="true" t="shared" si="82" ref="AE76:AE83">IF(AQ76="7",BI76,0)</f>
        <v>0</v>
      </c>
      <c r="AF76" s="37">
        <f aca="true" t="shared" si="83" ref="AF76:AF83">IF(AQ76="2",BH76,0)</f>
        <v>0</v>
      </c>
      <c r="AG76" s="37">
        <f aca="true" t="shared" si="84" ref="AG76:AG83">IF(AQ76="2",BI76,0)</f>
        <v>0</v>
      </c>
      <c r="AH76" s="37">
        <f aca="true" t="shared" si="85" ref="AH76:AH83">IF(AQ76="0",BJ76,0)</f>
        <v>0</v>
      </c>
      <c r="AI76" s="28" t="s">
        <v>72</v>
      </c>
      <c r="AJ76" s="19">
        <f aca="true" t="shared" si="86" ref="AJ76:AJ83">IF(AN76=0,J76,0)</f>
        <v>0</v>
      </c>
      <c r="AK76" s="19">
        <f aca="true" t="shared" si="87" ref="AK76:AK83">IF(AN76=15,J76,0)</f>
        <v>0</v>
      </c>
      <c r="AL76" s="19">
        <f aca="true" t="shared" si="88" ref="AL76:AL83">IF(AN76=21,J76,0)</f>
        <v>0</v>
      </c>
      <c r="AN76" s="37">
        <v>21</v>
      </c>
      <c r="AO76" s="37">
        <f>G76*0.388130434782609</f>
        <v>0</v>
      </c>
      <c r="AP76" s="37">
        <f>G76*(1-0.388130434782609)</f>
        <v>0</v>
      </c>
      <c r="AQ76" s="32" t="s">
        <v>7</v>
      </c>
      <c r="AV76" s="37">
        <f aca="true" t="shared" si="89" ref="AV76:AV83">AW76+AX76</f>
        <v>0</v>
      </c>
      <c r="AW76" s="37">
        <f aca="true" t="shared" si="90" ref="AW76:AW83">F76*AO76</f>
        <v>0</v>
      </c>
      <c r="AX76" s="37">
        <f aca="true" t="shared" si="91" ref="AX76:AX83">F76*AP76</f>
        <v>0</v>
      </c>
      <c r="AY76" s="38" t="s">
        <v>298</v>
      </c>
      <c r="AZ76" s="38" t="s">
        <v>310</v>
      </c>
      <c r="BA76" s="28" t="s">
        <v>313</v>
      </c>
      <c r="BC76" s="37">
        <f aca="true" t="shared" si="92" ref="BC76:BC83">AW76+AX76</f>
        <v>0</v>
      </c>
      <c r="BD76" s="37">
        <f aca="true" t="shared" si="93" ref="BD76:BD83">G76/(100-BE76)*100</f>
        <v>0</v>
      </c>
      <c r="BE76" s="37">
        <v>0</v>
      </c>
      <c r="BF76" s="37">
        <f aca="true" t="shared" si="94" ref="BF76:BF83">L76</f>
        <v>0.003156</v>
      </c>
      <c r="BH76" s="19">
        <f aca="true" t="shared" si="95" ref="BH76:BH83">F76*AO76</f>
        <v>0</v>
      </c>
      <c r="BI76" s="19">
        <f aca="true" t="shared" si="96" ref="BI76:BI83">F76*AP76</f>
        <v>0</v>
      </c>
      <c r="BJ76" s="19">
        <f aca="true" t="shared" si="97" ref="BJ76:BJ83">F76*G76</f>
        <v>0</v>
      </c>
    </row>
    <row r="77" spans="1:62" ht="12.75">
      <c r="A77" s="5" t="s">
        <v>54</v>
      </c>
      <c r="B77" s="5" t="s">
        <v>72</v>
      </c>
      <c r="C77" s="5" t="s">
        <v>137</v>
      </c>
      <c r="D77" s="5" t="s">
        <v>221</v>
      </c>
      <c r="E77" s="5" t="s">
        <v>245</v>
      </c>
      <c r="F77" s="19">
        <v>1.2</v>
      </c>
      <c r="G77" s="19">
        <v>0</v>
      </c>
      <c r="H77" s="19">
        <f t="shared" si="74"/>
        <v>0</v>
      </c>
      <c r="I77" s="19">
        <f t="shared" si="75"/>
        <v>0</v>
      </c>
      <c r="J77" s="19">
        <f t="shared" si="76"/>
        <v>0</v>
      </c>
      <c r="K77" s="19">
        <v>0.00134</v>
      </c>
      <c r="L77" s="19">
        <f t="shared" si="77"/>
        <v>0.001608</v>
      </c>
      <c r="M77" s="32" t="s">
        <v>272</v>
      </c>
      <c r="Z77" s="37">
        <f t="shared" si="78"/>
        <v>0</v>
      </c>
      <c r="AB77" s="37">
        <f t="shared" si="79"/>
        <v>0</v>
      </c>
      <c r="AC77" s="37">
        <f t="shared" si="80"/>
        <v>0</v>
      </c>
      <c r="AD77" s="37">
        <f t="shared" si="81"/>
        <v>0</v>
      </c>
      <c r="AE77" s="37">
        <f t="shared" si="82"/>
        <v>0</v>
      </c>
      <c r="AF77" s="37">
        <f t="shared" si="83"/>
        <v>0</v>
      </c>
      <c r="AG77" s="37">
        <f t="shared" si="84"/>
        <v>0</v>
      </c>
      <c r="AH77" s="37">
        <f t="shared" si="85"/>
        <v>0</v>
      </c>
      <c r="AI77" s="28" t="s">
        <v>72</v>
      </c>
      <c r="AJ77" s="19">
        <f t="shared" si="86"/>
        <v>0</v>
      </c>
      <c r="AK77" s="19">
        <f t="shared" si="87"/>
        <v>0</v>
      </c>
      <c r="AL77" s="19">
        <f t="shared" si="88"/>
        <v>0</v>
      </c>
      <c r="AN77" s="37">
        <v>21</v>
      </c>
      <c r="AO77" s="37">
        <f>G77*0.12152380952381</f>
        <v>0</v>
      </c>
      <c r="AP77" s="37">
        <f>G77*(1-0.12152380952381)</f>
        <v>0</v>
      </c>
      <c r="AQ77" s="32" t="s">
        <v>7</v>
      </c>
      <c r="AV77" s="37">
        <f t="shared" si="89"/>
        <v>0</v>
      </c>
      <c r="AW77" s="37">
        <f t="shared" si="90"/>
        <v>0</v>
      </c>
      <c r="AX77" s="37">
        <f t="shared" si="91"/>
        <v>0</v>
      </c>
      <c r="AY77" s="38" t="s">
        <v>298</v>
      </c>
      <c r="AZ77" s="38" t="s">
        <v>310</v>
      </c>
      <c r="BA77" s="28" t="s">
        <v>313</v>
      </c>
      <c r="BC77" s="37">
        <f t="shared" si="92"/>
        <v>0</v>
      </c>
      <c r="BD77" s="37">
        <f t="shared" si="93"/>
        <v>0</v>
      </c>
      <c r="BE77" s="37">
        <v>0</v>
      </c>
      <c r="BF77" s="37">
        <f t="shared" si="94"/>
        <v>0.001608</v>
      </c>
      <c r="BH77" s="19">
        <f t="shared" si="95"/>
        <v>0</v>
      </c>
      <c r="BI77" s="19">
        <f t="shared" si="96"/>
        <v>0</v>
      </c>
      <c r="BJ77" s="19">
        <f t="shared" si="97"/>
        <v>0</v>
      </c>
    </row>
    <row r="78" spans="1:62" ht="12.75">
      <c r="A78" s="5" t="s">
        <v>55</v>
      </c>
      <c r="B78" s="5" t="s">
        <v>72</v>
      </c>
      <c r="C78" s="5" t="s">
        <v>138</v>
      </c>
      <c r="D78" s="5" t="s">
        <v>222</v>
      </c>
      <c r="E78" s="5" t="s">
        <v>245</v>
      </c>
      <c r="F78" s="19">
        <v>1.2</v>
      </c>
      <c r="G78" s="19">
        <v>0</v>
      </c>
      <c r="H78" s="19">
        <f t="shared" si="74"/>
        <v>0</v>
      </c>
      <c r="I78" s="19">
        <f t="shared" si="75"/>
        <v>0</v>
      </c>
      <c r="J78" s="19">
        <f t="shared" si="76"/>
        <v>0</v>
      </c>
      <c r="K78" s="19">
        <v>1E-05</v>
      </c>
      <c r="L78" s="19">
        <f t="shared" si="77"/>
        <v>1.2E-05</v>
      </c>
      <c r="M78" s="32" t="s">
        <v>272</v>
      </c>
      <c r="Z78" s="37">
        <f t="shared" si="78"/>
        <v>0</v>
      </c>
      <c r="AB78" s="37">
        <f t="shared" si="79"/>
        <v>0</v>
      </c>
      <c r="AC78" s="37">
        <f t="shared" si="80"/>
        <v>0</v>
      </c>
      <c r="AD78" s="37">
        <f t="shared" si="81"/>
        <v>0</v>
      </c>
      <c r="AE78" s="37">
        <f t="shared" si="82"/>
        <v>0</v>
      </c>
      <c r="AF78" s="37">
        <f t="shared" si="83"/>
        <v>0</v>
      </c>
      <c r="AG78" s="37">
        <f t="shared" si="84"/>
        <v>0</v>
      </c>
      <c r="AH78" s="37">
        <f t="shared" si="85"/>
        <v>0</v>
      </c>
      <c r="AI78" s="28" t="s">
        <v>72</v>
      </c>
      <c r="AJ78" s="19">
        <f t="shared" si="86"/>
        <v>0</v>
      </c>
      <c r="AK78" s="19">
        <f t="shared" si="87"/>
        <v>0</v>
      </c>
      <c r="AL78" s="19">
        <f t="shared" si="88"/>
        <v>0</v>
      </c>
      <c r="AN78" s="37">
        <v>21</v>
      </c>
      <c r="AO78" s="37">
        <f>G78*0.303918839032018</f>
        <v>0</v>
      </c>
      <c r="AP78" s="37">
        <f>G78*(1-0.303918839032018)</f>
        <v>0</v>
      </c>
      <c r="AQ78" s="32" t="s">
        <v>7</v>
      </c>
      <c r="AV78" s="37">
        <f t="shared" si="89"/>
        <v>0</v>
      </c>
      <c r="AW78" s="37">
        <f t="shared" si="90"/>
        <v>0</v>
      </c>
      <c r="AX78" s="37">
        <f t="shared" si="91"/>
        <v>0</v>
      </c>
      <c r="AY78" s="38" t="s">
        <v>298</v>
      </c>
      <c r="AZ78" s="38" t="s">
        <v>310</v>
      </c>
      <c r="BA78" s="28" t="s">
        <v>313</v>
      </c>
      <c r="BC78" s="37">
        <f t="shared" si="92"/>
        <v>0</v>
      </c>
      <c r="BD78" s="37">
        <f t="shared" si="93"/>
        <v>0</v>
      </c>
      <c r="BE78" s="37">
        <v>0</v>
      </c>
      <c r="BF78" s="37">
        <f t="shared" si="94"/>
        <v>1.2E-05</v>
      </c>
      <c r="BH78" s="19">
        <f t="shared" si="95"/>
        <v>0</v>
      </c>
      <c r="BI78" s="19">
        <f t="shared" si="96"/>
        <v>0</v>
      </c>
      <c r="BJ78" s="19">
        <f t="shared" si="97"/>
        <v>0</v>
      </c>
    </row>
    <row r="79" spans="1:62" ht="26.25">
      <c r="A79" s="5" t="s">
        <v>56</v>
      </c>
      <c r="B79" s="5" t="s">
        <v>72</v>
      </c>
      <c r="C79" s="5" t="s">
        <v>139</v>
      </c>
      <c r="D79" s="109" t="s">
        <v>223</v>
      </c>
      <c r="E79" s="5" t="s">
        <v>246</v>
      </c>
      <c r="F79" s="19">
        <v>4</v>
      </c>
      <c r="G79" s="19">
        <v>0</v>
      </c>
      <c r="H79" s="19">
        <f t="shared" si="74"/>
        <v>0</v>
      </c>
      <c r="I79" s="19">
        <f t="shared" si="75"/>
        <v>0</v>
      </c>
      <c r="J79" s="19">
        <f t="shared" si="76"/>
        <v>0</v>
      </c>
      <c r="K79" s="19">
        <v>0.0006</v>
      </c>
      <c r="L79" s="19">
        <f t="shared" si="77"/>
        <v>0.0024</v>
      </c>
      <c r="M79" s="32" t="s">
        <v>272</v>
      </c>
      <c r="Z79" s="37">
        <f t="shared" si="78"/>
        <v>0</v>
      </c>
      <c r="AB79" s="37">
        <f t="shared" si="79"/>
        <v>0</v>
      </c>
      <c r="AC79" s="37">
        <f t="shared" si="80"/>
        <v>0</v>
      </c>
      <c r="AD79" s="37">
        <f t="shared" si="81"/>
        <v>0</v>
      </c>
      <c r="AE79" s="37">
        <f t="shared" si="82"/>
        <v>0</v>
      </c>
      <c r="AF79" s="37">
        <f t="shared" si="83"/>
        <v>0</v>
      </c>
      <c r="AG79" s="37">
        <f t="shared" si="84"/>
        <v>0</v>
      </c>
      <c r="AH79" s="37">
        <f t="shared" si="85"/>
        <v>0</v>
      </c>
      <c r="AI79" s="28" t="s">
        <v>72</v>
      </c>
      <c r="AJ79" s="19">
        <f t="shared" si="86"/>
        <v>0</v>
      </c>
      <c r="AK79" s="19">
        <f t="shared" si="87"/>
        <v>0</v>
      </c>
      <c r="AL79" s="19">
        <f t="shared" si="88"/>
        <v>0</v>
      </c>
      <c r="AN79" s="37">
        <v>21</v>
      </c>
      <c r="AO79" s="37">
        <f>G79*0</f>
        <v>0</v>
      </c>
      <c r="AP79" s="37">
        <f>G79*(1-0)</f>
        <v>0</v>
      </c>
      <c r="AQ79" s="32" t="s">
        <v>7</v>
      </c>
      <c r="AV79" s="37">
        <f t="shared" si="89"/>
        <v>0</v>
      </c>
      <c r="AW79" s="37">
        <f t="shared" si="90"/>
        <v>0</v>
      </c>
      <c r="AX79" s="37">
        <f t="shared" si="91"/>
        <v>0</v>
      </c>
      <c r="AY79" s="38" t="s">
        <v>298</v>
      </c>
      <c r="AZ79" s="38" t="s">
        <v>310</v>
      </c>
      <c r="BA79" s="28" t="s">
        <v>313</v>
      </c>
      <c r="BC79" s="37">
        <f t="shared" si="92"/>
        <v>0</v>
      </c>
      <c r="BD79" s="37">
        <f t="shared" si="93"/>
        <v>0</v>
      </c>
      <c r="BE79" s="37">
        <v>0</v>
      </c>
      <c r="BF79" s="37">
        <f t="shared" si="94"/>
        <v>0.0024</v>
      </c>
      <c r="BH79" s="19">
        <f t="shared" si="95"/>
        <v>0</v>
      </c>
      <c r="BI79" s="19">
        <f t="shared" si="96"/>
        <v>0</v>
      </c>
      <c r="BJ79" s="19">
        <f t="shared" si="97"/>
        <v>0</v>
      </c>
    </row>
    <row r="80" spans="1:62" ht="12.75">
      <c r="A80" s="5" t="s">
        <v>57</v>
      </c>
      <c r="B80" s="5" t="s">
        <v>72</v>
      </c>
      <c r="C80" s="5" t="s">
        <v>140</v>
      </c>
      <c r="D80" s="5" t="s">
        <v>224</v>
      </c>
      <c r="E80" s="5" t="s">
        <v>245</v>
      </c>
      <c r="F80" s="19">
        <v>1.7</v>
      </c>
      <c r="G80" s="19">
        <v>0</v>
      </c>
      <c r="H80" s="19">
        <f t="shared" si="74"/>
        <v>0</v>
      </c>
      <c r="I80" s="19">
        <f t="shared" si="75"/>
        <v>0</v>
      </c>
      <c r="J80" s="19">
        <f t="shared" si="76"/>
        <v>0</v>
      </c>
      <c r="K80" s="19">
        <v>0.00263</v>
      </c>
      <c r="L80" s="19">
        <f t="shared" si="77"/>
        <v>0.004471</v>
      </c>
      <c r="M80" s="32" t="s">
        <v>272</v>
      </c>
      <c r="Z80" s="37">
        <f t="shared" si="78"/>
        <v>0</v>
      </c>
      <c r="AB80" s="37">
        <f t="shared" si="79"/>
        <v>0</v>
      </c>
      <c r="AC80" s="37">
        <f t="shared" si="80"/>
        <v>0</v>
      </c>
      <c r="AD80" s="37">
        <f t="shared" si="81"/>
        <v>0</v>
      </c>
      <c r="AE80" s="37">
        <f t="shared" si="82"/>
        <v>0</v>
      </c>
      <c r="AF80" s="37">
        <f t="shared" si="83"/>
        <v>0</v>
      </c>
      <c r="AG80" s="37">
        <f t="shared" si="84"/>
        <v>0</v>
      </c>
      <c r="AH80" s="37">
        <f t="shared" si="85"/>
        <v>0</v>
      </c>
      <c r="AI80" s="28" t="s">
        <v>72</v>
      </c>
      <c r="AJ80" s="19">
        <f t="shared" si="86"/>
        <v>0</v>
      </c>
      <c r="AK80" s="19">
        <f t="shared" si="87"/>
        <v>0</v>
      </c>
      <c r="AL80" s="19">
        <f t="shared" si="88"/>
        <v>0</v>
      </c>
      <c r="AN80" s="37">
        <v>21</v>
      </c>
      <c r="AO80" s="37">
        <f>G80*0.341439749608764</f>
        <v>0</v>
      </c>
      <c r="AP80" s="37">
        <f>G80*(1-0.341439749608764)</f>
        <v>0</v>
      </c>
      <c r="AQ80" s="32" t="s">
        <v>7</v>
      </c>
      <c r="AV80" s="37">
        <f t="shared" si="89"/>
        <v>0</v>
      </c>
      <c r="AW80" s="37">
        <f t="shared" si="90"/>
        <v>0</v>
      </c>
      <c r="AX80" s="37">
        <f t="shared" si="91"/>
        <v>0</v>
      </c>
      <c r="AY80" s="38" t="s">
        <v>298</v>
      </c>
      <c r="AZ80" s="38" t="s">
        <v>310</v>
      </c>
      <c r="BA80" s="28" t="s">
        <v>313</v>
      </c>
      <c r="BC80" s="37">
        <f t="shared" si="92"/>
        <v>0</v>
      </c>
      <c r="BD80" s="37">
        <f t="shared" si="93"/>
        <v>0</v>
      </c>
      <c r="BE80" s="37">
        <v>0</v>
      </c>
      <c r="BF80" s="37">
        <f t="shared" si="94"/>
        <v>0.004471</v>
      </c>
      <c r="BH80" s="19">
        <f t="shared" si="95"/>
        <v>0</v>
      </c>
      <c r="BI80" s="19">
        <f t="shared" si="96"/>
        <v>0</v>
      </c>
      <c r="BJ80" s="19">
        <f t="shared" si="97"/>
        <v>0</v>
      </c>
    </row>
    <row r="81" spans="1:62" ht="12.75">
      <c r="A81" s="5" t="s">
        <v>58</v>
      </c>
      <c r="B81" s="5" t="s">
        <v>72</v>
      </c>
      <c r="C81" s="5" t="s">
        <v>141</v>
      </c>
      <c r="D81" s="5" t="s">
        <v>225</v>
      </c>
      <c r="E81" s="5" t="s">
        <v>245</v>
      </c>
      <c r="F81" s="19">
        <v>1.7</v>
      </c>
      <c r="G81" s="19">
        <v>0</v>
      </c>
      <c r="H81" s="19">
        <f t="shared" si="74"/>
        <v>0</v>
      </c>
      <c r="I81" s="19">
        <f t="shared" si="75"/>
        <v>0</v>
      </c>
      <c r="J81" s="19">
        <f t="shared" si="76"/>
        <v>0</v>
      </c>
      <c r="K81" s="19">
        <v>0.00089</v>
      </c>
      <c r="L81" s="19">
        <f t="shared" si="77"/>
        <v>0.0015129999999999998</v>
      </c>
      <c r="M81" s="32" t="s">
        <v>272</v>
      </c>
      <c r="Z81" s="37">
        <f t="shared" si="78"/>
        <v>0</v>
      </c>
      <c r="AB81" s="37">
        <f t="shared" si="79"/>
        <v>0</v>
      </c>
      <c r="AC81" s="37">
        <f t="shared" si="80"/>
        <v>0</v>
      </c>
      <c r="AD81" s="37">
        <f t="shared" si="81"/>
        <v>0</v>
      </c>
      <c r="AE81" s="37">
        <f t="shared" si="82"/>
        <v>0</v>
      </c>
      <c r="AF81" s="37">
        <f t="shared" si="83"/>
        <v>0</v>
      </c>
      <c r="AG81" s="37">
        <f t="shared" si="84"/>
        <v>0</v>
      </c>
      <c r="AH81" s="37">
        <f t="shared" si="85"/>
        <v>0</v>
      </c>
      <c r="AI81" s="28" t="s">
        <v>72</v>
      </c>
      <c r="AJ81" s="19">
        <f t="shared" si="86"/>
        <v>0</v>
      </c>
      <c r="AK81" s="19">
        <f t="shared" si="87"/>
        <v>0</v>
      </c>
      <c r="AL81" s="19">
        <f t="shared" si="88"/>
        <v>0</v>
      </c>
      <c r="AN81" s="37">
        <v>21</v>
      </c>
      <c r="AO81" s="37">
        <f>G81*0.0510669849026226</f>
        <v>0</v>
      </c>
      <c r="AP81" s="37">
        <f>G81*(1-0.0510669849026226)</f>
        <v>0</v>
      </c>
      <c r="AQ81" s="32" t="s">
        <v>7</v>
      </c>
      <c r="AV81" s="37">
        <f t="shared" si="89"/>
        <v>0</v>
      </c>
      <c r="AW81" s="37">
        <f t="shared" si="90"/>
        <v>0</v>
      </c>
      <c r="AX81" s="37">
        <f t="shared" si="91"/>
        <v>0</v>
      </c>
      <c r="AY81" s="38" t="s">
        <v>298</v>
      </c>
      <c r="AZ81" s="38" t="s">
        <v>310</v>
      </c>
      <c r="BA81" s="28" t="s">
        <v>313</v>
      </c>
      <c r="BC81" s="37">
        <f t="shared" si="92"/>
        <v>0</v>
      </c>
      <c r="BD81" s="37">
        <f t="shared" si="93"/>
        <v>0</v>
      </c>
      <c r="BE81" s="37">
        <v>0</v>
      </c>
      <c r="BF81" s="37">
        <f t="shared" si="94"/>
        <v>0.0015129999999999998</v>
      </c>
      <c r="BH81" s="19">
        <f t="shared" si="95"/>
        <v>0</v>
      </c>
      <c r="BI81" s="19">
        <f t="shared" si="96"/>
        <v>0</v>
      </c>
      <c r="BJ81" s="19">
        <f t="shared" si="97"/>
        <v>0</v>
      </c>
    </row>
    <row r="82" spans="1:62" ht="12.75">
      <c r="A82" s="5" t="s">
        <v>59</v>
      </c>
      <c r="B82" s="5" t="s">
        <v>72</v>
      </c>
      <c r="C82" s="5" t="s">
        <v>142</v>
      </c>
      <c r="D82" s="5" t="s">
        <v>226</v>
      </c>
      <c r="E82" s="5" t="s">
        <v>245</v>
      </c>
      <c r="F82" s="19">
        <v>1.7</v>
      </c>
      <c r="G82" s="19">
        <v>0</v>
      </c>
      <c r="H82" s="19">
        <f t="shared" si="74"/>
        <v>0</v>
      </c>
      <c r="I82" s="19">
        <f t="shared" si="75"/>
        <v>0</v>
      </c>
      <c r="J82" s="19">
        <f t="shared" si="76"/>
        <v>0</v>
      </c>
      <c r="K82" s="19">
        <v>1E-05</v>
      </c>
      <c r="L82" s="19">
        <f t="shared" si="77"/>
        <v>1.7E-05</v>
      </c>
      <c r="M82" s="32" t="s">
        <v>272</v>
      </c>
      <c r="Z82" s="37">
        <f t="shared" si="78"/>
        <v>0</v>
      </c>
      <c r="AB82" s="37">
        <f t="shared" si="79"/>
        <v>0</v>
      </c>
      <c r="AC82" s="37">
        <f t="shared" si="80"/>
        <v>0</v>
      </c>
      <c r="AD82" s="37">
        <f t="shared" si="81"/>
        <v>0</v>
      </c>
      <c r="AE82" s="37">
        <f t="shared" si="82"/>
        <v>0</v>
      </c>
      <c r="AF82" s="37">
        <f t="shared" si="83"/>
        <v>0</v>
      </c>
      <c r="AG82" s="37">
        <f t="shared" si="84"/>
        <v>0</v>
      </c>
      <c r="AH82" s="37">
        <f t="shared" si="85"/>
        <v>0</v>
      </c>
      <c r="AI82" s="28" t="s">
        <v>72</v>
      </c>
      <c r="AJ82" s="19">
        <f t="shared" si="86"/>
        <v>0</v>
      </c>
      <c r="AK82" s="19">
        <f t="shared" si="87"/>
        <v>0</v>
      </c>
      <c r="AL82" s="19">
        <f t="shared" si="88"/>
        <v>0</v>
      </c>
      <c r="AN82" s="37">
        <v>21</v>
      </c>
      <c r="AO82" s="37">
        <f>G82*0.196750741839763</f>
        <v>0</v>
      </c>
      <c r="AP82" s="37">
        <f>G82*(1-0.196750741839763)</f>
        <v>0</v>
      </c>
      <c r="AQ82" s="32" t="s">
        <v>7</v>
      </c>
      <c r="AV82" s="37">
        <f t="shared" si="89"/>
        <v>0</v>
      </c>
      <c r="AW82" s="37">
        <f t="shared" si="90"/>
        <v>0</v>
      </c>
      <c r="AX82" s="37">
        <f t="shared" si="91"/>
        <v>0</v>
      </c>
      <c r="AY82" s="38" t="s">
        <v>298</v>
      </c>
      <c r="AZ82" s="38" t="s">
        <v>310</v>
      </c>
      <c r="BA82" s="28" t="s">
        <v>313</v>
      </c>
      <c r="BC82" s="37">
        <f t="shared" si="92"/>
        <v>0</v>
      </c>
      <c r="BD82" s="37">
        <f t="shared" si="93"/>
        <v>0</v>
      </c>
      <c r="BE82" s="37">
        <v>0</v>
      </c>
      <c r="BF82" s="37">
        <f t="shared" si="94"/>
        <v>1.7E-05</v>
      </c>
      <c r="BH82" s="19">
        <f t="shared" si="95"/>
        <v>0</v>
      </c>
      <c r="BI82" s="19">
        <f t="shared" si="96"/>
        <v>0</v>
      </c>
      <c r="BJ82" s="19">
        <f t="shared" si="97"/>
        <v>0</v>
      </c>
    </row>
    <row r="83" spans="1:62" ht="26.25">
      <c r="A83" s="5" t="s">
        <v>60</v>
      </c>
      <c r="B83" s="5" t="s">
        <v>72</v>
      </c>
      <c r="C83" s="5" t="s">
        <v>143</v>
      </c>
      <c r="D83" s="109" t="s">
        <v>227</v>
      </c>
      <c r="E83" s="5" t="s">
        <v>252</v>
      </c>
      <c r="F83" s="19">
        <v>0.08</v>
      </c>
      <c r="G83" s="19">
        <v>0</v>
      </c>
      <c r="H83" s="19">
        <f t="shared" si="74"/>
        <v>0</v>
      </c>
      <c r="I83" s="19">
        <f t="shared" si="75"/>
        <v>0</v>
      </c>
      <c r="J83" s="19">
        <f t="shared" si="76"/>
        <v>0</v>
      </c>
      <c r="K83" s="19">
        <v>0.24165</v>
      </c>
      <c r="L83" s="19">
        <f t="shared" si="77"/>
        <v>0.019332000000000002</v>
      </c>
      <c r="M83" s="32" t="s">
        <v>272</v>
      </c>
      <c r="Z83" s="37">
        <f t="shared" si="78"/>
        <v>0</v>
      </c>
      <c r="AB83" s="37">
        <f t="shared" si="79"/>
        <v>0</v>
      </c>
      <c r="AC83" s="37">
        <f t="shared" si="80"/>
        <v>0</v>
      </c>
      <c r="AD83" s="37">
        <f t="shared" si="81"/>
        <v>0</v>
      </c>
      <c r="AE83" s="37">
        <f t="shared" si="82"/>
        <v>0</v>
      </c>
      <c r="AF83" s="37">
        <f t="shared" si="83"/>
        <v>0</v>
      </c>
      <c r="AG83" s="37">
        <f t="shared" si="84"/>
        <v>0</v>
      </c>
      <c r="AH83" s="37">
        <f t="shared" si="85"/>
        <v>0</v>
      </c>
      <c r="AI83" s="28" t="s">
        <v>72</v>
      </c>
      <c r="AJ83" s="19">
        <f t="shared" si="86"/>
        <v>0</v>
      </c>
      <c r="AK83" s="19">
        <f t="shared" si="87"/>
        <v>0</v>
      </c>
      <c r="AL83" s="19">
        <f t="shared" si="88"/>
        <v>0</v>
      </c>
      <c r="AN83" s="37">
        <v>21</v>
      </c>
      <c r="AO83" s="37">
        <f>G83*0.0394583751253761</f>
        <v>0</v>
      </c>
      <c r="AP83" s="37">
        <f>G83*(1-0.0394583751253761)</f>
        <v>0</v>
      </c>
      <c r="AQ83" s="32" t="s">
        <v>7</v>
      </c>
      <c r="AV83" s="37">
        <f t="shared" si="89"/>
        <v>0</v>
      </c>
      <c r="AW83" s="37">
        <f t="shared" si="90"/>
        <v>0</v>
      </c>
      <c r="AX83" s="37">
        <f t="shared" si="91"/>
        <v>0</v>
      </c>
      <c r="AY83" s="38" t="s">
        <v>298</v>
      </c>
      <c r="AZ83" s="38" t="s">
        <v>310</v>
      </c>
      <c r="BA83" s="28" t="s">
        <v>313</v>
      </c>
      <c r="BC83" s="37">
        <f t="shared" si="92"/>
        <v>0</v>
      </c>
      <c r="BD83" s="37">
        <f t="shared" si="93"/>
        <v>0</v>
      </c>
      <c r="BE83" s="37">
        <v>0</v>
      </c>
      <c r="BF83" s="37">
        <f t="shared" si="94"/>
        <v>0.019332000000000002</v>
      </c>
      <c r="BH83" s="19">
        <f t="shared" si="95"/>
        <v>0</v>
      </c>
      <c r="BI83" s="19">
        <f t="shared" si="96"/>
        <v>0</v>
      </c>
      <c r="BJ83" s="19">
        <f t="shared" si="97"/>
        <v>0</v>
      </c>
    </row>
    <row r="84" spans="1:47" ht="12.75">
      <c r="A84" s="4"/>
      <c r="B84" s="14" t="s">
        <v>72</v>
      </c>
      <c r="C84" s="14" t="s">
        <v>144</v>
      </c>
      <c r="D84" s="14" t="s">
        <v>228</v>
      </c>
      <c r="E84" s="4" t="s">
        <v>6</v>
      </c>
      <c r="F84" s="4" t="s">
        <v>6</v>
      </c>
      <c r="G84" s="4" t="s">
        <v>6</v>
      </c>
      <c r="H84" s="40">
        <f>SUM(H85:H85)</f>
        <v>0</v>
      </c>
      <c r="I84" s="40">
        <f>SUM(I85:I85)</f>
        <v>0</v>
      </c>
      <c r="J84" s="40">
        <f>SUM(J85:J85)</f>
        <v>0</v>
      </c>
      <c r="K84" s="28"/>
      <c r="L84" s="40">
        <f>SUM(L85:L85)</f>
        <v>0</v>
      </c>
      <c r="M84" s="28"/>
      <c r="AI84" s="28" t="s">
        <v>72</v>
      </c>
      <c r="AS84" s="40">
        <f>SUM(AJ85:AJ85)</f>
        <v>0</v>
      </c>
      <c r="AT84" s="40">
        <f>SUM(AK85:AK85)</f>
        <v>0</v>
      </c>
      <c r="AU84" s="40">
        <f>SUM(AL85:AL85)</f>
        <v>0</v>
      </c>
    </row>
    <row r="85" spans="1:62" ht="12.75">
      <c r="A85" s="5" t="s">
        <v>61</v>
      </c>
      <c r="B85" s="5" t="s">
        <v>72</v>
      </c>
      <c r="C85" s="5" t="s">
        <v>145</v>
      </c>
      <c r="D85" s="5" t="s">
        <v>229</v>
      </c>
      <c r="E85" s="5" t="s">
        <v>247</v>
      </c>
      <c r="F85" s="19">
        <v>1</v>
      </c>
      <c r="G85" s="19">
        <v>0</v>
      </c>
      <c r="H85" s="19">
        <f>F85*AO85</f>
        <v>0</v>
      </c>
      <c r="I85" s="19">
        <f>F85*AP85</f>
        <v>0</v>
      </c>
      <c r="J85" s="19">
        <f>F85*G85</f>
        <v>0</v>
      </c>
      <c r="K85" s="19">
        <v>0</v>
      </c>
      <c r="L85" s="19">
        <f>F85*K85</f>
        <v>0</v>
      </c>
      <c r="M85" s="32"/>
      <c r="Z85" s="37">
        <f>IF(AQ85="5",BJ85,0)</f>
        <v>0</v>
      </c>
      <c r="AB85" s="37">
        <f>IF(AQ85="1",BH85,0)</f>
        <v>0</v>
      </c>
      <c r="AC85" s="37">
        <f>IF(AQ85="1",BI85,0)</f>
        <v>0</v>
      </c>
      <c r="AD85" s="37">
        <f>IF(AQ85="7",BH85,0)</f>
        <v>0</v>
      </c>
      <c r="AE85" s="37">
        <f>IF(AQ85="7",BI85,0)</f>
        <v>0</v>
      </c>
      <c r="AF85" s="37">
        <f>IF(AQ85="2",BH85,0)</f>
        <v>0</v>
      </c>
      <c r="AG85" s="37">
        <f>IF(AQ85="2",BI85,0)</f>
        <v>0</v>
      </c>
      <c r="AH85" s="37">
        <f>IF(AQ85="0",BJ85,0)</f>
        <v>0</v>
      </c>
      <c r="AI85" s="28" t="s">
        <v>72</v>
      </c>
      <c r="AJ85" s="19">
        <f>IF(AN85=0,J85,0)</f>
        <v>0</v>
      </c>
      <c r="AK85" s="19">
        <f>IF(AN85=15,J85,0)</f>
        <v>0</v>
      </c>
      <c r="AL85" s="19">
        <f>IF(AN85=21,J85,0)</f>
        <v>0</v>
      </c>
      <c r="AN85" s="37">
        <v>21</v>
      </c>
      <c r="AO85" s="37">
        <f>G85*0</f>
        <v>0</v>
      </c>
      <c r="AP85" s="37">
        <f>G85*(1-0)</f>
        <v>0</v>
      </c>
      <c r="AQ85" s="32" t="s">
        <v>11</v>
      </c>
      <c r="AV85" s="37">
        <f>AW85+AX85</f>
        <v>0</v>
      </c>
      <c r="AW85" s="37">
        <f>F85*AO85</f>
        <v>0</v>
      </c>
      <c r="AX85" s="37">
        <f>F85*AP85</f>
        <v>0</v>
      </c>
      <c r="AY85" s="38" t="s">
        <v>299</v>
      </c>
      <c r="AZ85" s="38" t="s">
        <v>310</v>
      </c>
      <c r="BA85" s="28" t="s">
        <v>313</v>
      </c>
      <c r="BC85" s="37">
        <f>AW85+AX85</f>
        <v>0</v>
      </c>
      <c r="BD85" s="37">
        <f>G85/(100-BE85)*100</f>
        <v>0</v>
      </c>
      <c r="BE85" s="37">
        <v>0</v>
      </c>
      <c r="BF85" s="37">
        <f>L85</f>
        <v>0</v>
      </c>
      <c r="BH85" s="19">
        <f>F85*AO85</f>
        <v>0</v>
      </c>
      <c r="BI85" s="19">
        <f>F85*AP85</f>
        <v>0</v>
      </c>
      <c r="BJ85" s="19">
        <f>F85*G85</f>
        <v>0</v>
      </c>
    </row>
    <row r="86" spans="1:47" ht="12.75">
      <c r="A86" s="4"/>
      <c r="B86" s="14" t="s">
        <v>72</v>
      </c>
      <c r="C86" s="14" t="s">
        <v>146</v>
      </c>
      <c r="D86" s="14" t="s">
        <v>230</v>
      </c>
      <c r="E86" s="4" t="s">
        <v>6</v>
      </c>
      <c r="F86" s="4" t="s">
        <v>6</v>
      </c>
      <c r="G86" s="4" t="s">
        <v>6</v>
      </c>
      <c r="H86" s="40">
        <f>SUM(H87:H90)</f>
        <v>0</v>
      </c>
      <c r="I86" s="40">
        <f>SUM(I87:I90)</f>
        <v>0</v>
      </c>
      <c r="J86" s="40">
        <f>SUM(J87:J90)</f>
        <v>0</v>
      </c>
      <c r="K86" s="28"/>
      <c r="L86" s="40">
        <f>SUM(L87:L90)</f>
        <v>0</v>
      </c>
      <c r="M86" s="28"/>
      <c r="AI86" s="28" t="s">
        <v>72</v>
      </c>
      <c r="AS86" s="40">
        <f>SUM(AJ87:AJ90)</f>
        <v>0</v>
      </c>
      <c r="AT86" s="40">
        <f>SUM(AK87:AK90)</f>
        <v>0</v>
      </c>
      <c r="AU86" s="40">
        <f>SUM(AL87:AL90)</f>
        <v>0</v>
      </c>
    </row>
    <row r="87" spans="1:62" ht="12.75">
      <c r="A87" s="5" t="s">
        <v>62</v>
      </c>
      <c r="B87" s="5" t="s">
        <v>72</v>
      </c>
      <c r="C87" s="5" t="s">
        <v>147</v>
      </c>
      <c r="D87" s="5" t="s">
        <v>231</v>
      </c>
      <c r="E87" s="5" t="s">
        <v>253</v>
      </c>
      <c r="F87" s="19">
        <v>0.03</v>
      </c>
      <c r="G87" s="19">
        <v>0</v>
      </c>
      <c r="H87" s="19">
        <f>F87*AO87</f>
        <v>0</v>
      </c>
      <c r="I87" s="19">
        <f>F87*AP87</f>
        <v>0</v>
      </c>
      <c r="J87" s="19">
        <f>F87*G87</f>
        <v>0</v>
      </c>
      <c r="K87" s="19">
        <v>0</v>
      </c>
      <c r="L87" s="19">
        <f>F87*K87</f>
        <v>0</v>
      </c>
      <c r="M87" s="32" t="s">
        <v>272</v>
      </c>
      <c r="Z87" s="37">
        <f>IF(AQ87="5",BJ87,0)</f>
        <v>0</v>
      </c>
      <c r="AB87" s="37">
        <f>IF(AQ87="1",BH87,0)</f>
        <v>0</v>
      </c>
      <c r="AC87" s="37">
        <f>IF(AQ87="1",BI87,0)</f>
        <v>0</v>
      </c>
      <c r="AD87" s="37">
        <f>IF(AQ87="7",BH87,0)</f>
        <v>0</v>
      </c>
      <c r="AE87" s="37">
        <f>IF(AQ87="7",BI87,0)</f>
        <v>0</v>
      </c>
      <c r="AF87" s="37">
        <f>IF(AQ87="2",BH87,0)</f>
        <v>0</v>
      </c>
      <c r="AG87" s="37">
        <f>IF(AQ87="2",BI87,0)</f>
        <v>0</v>
      </c>
      <c r="AH87" s="37">
        <f>IF(AQ87="0",BJ87,0)</f>
        <v>0</v>
      </c>
      <c r="AI87" s="28" t="s">
        <v>72</v>
      </c>
      <c r="AJ87" s="19">
        <f>IF(AN87=0,J87,0)</f>
        <v>0</v>
      </c>
      <c r="AK87" s="19">
        <f>IF(AN87=15,J87,0)</f>
        <v>0</v>
      </c>
      <c r="AL87" s="19">
        <f>IF(AN87=21,J87,0)</f>
        <v>0</v>
      </c>
      <c r="AN87" s="37">
        <v>21</v>
      </c>
      <c r="AO87" s="37">
        <f>G87*0</f>
        <v>0</v>
      </c>
      <c r="AP87" s="37">
        <f>G87*(1-0)</f>
        <v>0</v>
      </c>
      <c r="AQ87" s="32" t="s">
        <v>11</v>
      </c>
      <c r="AV87" s="37">
        <f>AW87+AX87</f>
        <v>0</v>
      </c>
      <c r="AW87" s="37">
        <f>F87*AO87</f>
        <v>0</v>
      </c>
      <c r="AX87" s="37">
        <f>F87*AP87</f>
        <v>0</v>
      </c>
      <c r="AY87" s="38" t="s">
        <v>300</v>
      </c>
      <c r="AZ87" s="38" t="s">
        <v>310</v>
      </c>
      <c r="BA87" s="28" t="s">
        <v>313</v>
      </c>
      <c r="BC87" s="37">
        <f>AW87+AX87</f>
        <v>0</v>
      </c>
      <c r="BD87" s="37">
        <f>G87/(100-BE87)*100</f>
        <v>0</v>
      </c>
      <c r="BE87" s="37">
        <v>0</v>
      </c>
      <c r="BF87" s="37">
        <f>L87</f>
        <v>0</v>
      </c>
      <c r="BH87" s="19">
        <f>F87*AO87</f>
        <v>0</v>
      </c>
      <c r="BI87" s="19">
        <f>F87*AP87</f>
        <v>0</v>
      </c>
      <c r="BJ87" s="19">
        <f>F87*G87</f>
        <v>0</v>
      </c>
    </row>
    <row r="88" spans="1:62" ht="12.75">
      <c r="A88" s="5" t="s">
        <v>63</v>
      </c>
      <c r="B88" s="5" t="s">
        <v>72</v>
      </c>
      <c r="C88" s="5" t="s">
        <v>148</v>
      </c>
      <c r="D88" s="5" t="s">
        <v>232</v>
      </c>
      <c r="E88" s="5" t="s">
        <v>253</v>
      </c>
      <c r="F88" s="19">
        <v>0.03</v>
      </c>
      <c r="G88" s="19">
        <v>0</v>
      </c>
      <c r="H88" s="19">
        <f>F88*AO88</f>
        <v>0</v>
      </c>
      <c r="I88" s="19">
        <f>F88*AP88</f>
        <v>0</v>
      </c>
      <c r="J88" s="19">
        <f>F88*G88</f>
        <v>0</v>
      </c>
      <c r="K88" s="19">
        <v>0</v>
      </c>
      <c r="L88" s="19">
        <f>F88*K88</f>
        <v>0</v>
      </c>
      <c r="M88" s="32" t="s">
        <v>272</v>
      </c>
      <c r="Z88" s="37">
        <f>IF(AQ88="5",BJ88,0)</f>
        <v>0</v>
      </c>
      <c r="AB88" s="37">
        <f>IF(AQ88="1",BH88,0)</f>
        <v>0</v>
      </c>
      <c r="AC88" s="37">
        <f>IF(AQ88="1",BI88,0)</f>
        <v>0</v>
      </c>
      <c r="AD88" s="37">
        <f>IF(AQ88="7",BH88,0)</f>
        <v>0</v>
      </c>
      <c r="AE88" s="37">
        <f>IF(AQ88="7",BI88,0)</f>
        <v>0</v>
      </c>
      <c r="AF88" s="37">
        <f>IF(AQ88="2",BH88,0)</f>
        <v>0</v>
      </c>
      <c r="AG88" s="37">
        <f>IF(AQ88="2",BI88,0)</f>
        <v>0</v>
      </c>
      <c r="AH88" s="37">
        <f>IF(AQ88="0",BJ88,0)</f>
        <v>0</v>
      </c>
      <c r="AI88" s="28" t="s">
        <v>72</v>
      </c>
      <c r="AJ88" s="19">
        <f>IF(AN88=0,J88,0)</f>
        <v>0</v>
      </c>
      <c r="AK88" s="19">
        <f>IF(AN88=15,J88,0)</f>
        <v>0</v>
      </c>
      <c r="AL88" s="19">
        <f>IF(AN88=21,J88,0)</f>
        <v>0</v>
      </c>
      <c r="AN88" s="37">
        <v>21</v>
      </c>
      <c r="AO88" s="37">
        <f>G88*0</f>
        <v>0</v>
      </c>
      <c r="AP88" s="37">
        <f>G88*(1-0)</f>
        <v>0</v>
      </c>
      <c r="AQ88" s="32" t="s">
        <v>11</v>
      </c>
      <c r="AV88" s="37">
        <f>AW88+AX88</f>
        <v>0</v>
      </c>
      <c r="AW88" s="37">
        <f>F88*AO88</f>
        <v>0</v>
      </c>
      <c r="AX88" s="37">
        <f>F88*AP88</f>
        <v>0</v>
      </c>
      <c r="AY88" s="38" t="s">
        <v>300</v>
      </c>
      <c r="AZ88" s="38" t="s">
        <v>310</v>
      </c>
      <c r="BA88" s="28" t="s">
        <v>313</v>
      </c>
      <c r="BC88" s="37">
        <f>AW88+AX88</f>
        <v>0</v>
      </c>
      <c r="BD88" s="37">
        <f>G88/(100-BE88)*100</f>
        <v>0</v>
      </c>
      <c r="BE88" s="37">
        <v>0</v>
      </c>
      <c r="BF88" s="37">
        <f>L88</f>
        <v>0</v>
      </c>
      <c r="BH88" s="19">
        <f>F88*AO88</f>
        <v>0</v>
      </c>
      <c r="BI88" s="19">
        <f>F88*AP88</f>
        <v>0</v>
      </c>
      <c r="BJ88" s="19">
        <f>F88*G88</f>
        <v>0</v>
      </c>
    </row>
    <row r="89" spans="1:62" ht="12.75">
      <c r="A89" s="5" t="s">
        <v>64</v>
      </c>
      <c r="B89" s="5" t="s">
        <v>72</v>
      </c>
      <c r="C89" s="5" t="s">
        <v>149</v>
      </c>
      <c r="D89" s="5" t="s">
        <v>233</v>
      </c>
      <c r="E89" s="5" t="s">
        <v>253</v>
      </c>
      <c r="F89" s="19">
        <v>0.3</v>
      </c>
      <c r="G89" s="19">
        <v>0</v>
      </c>
      <c r="H89" s="19">
        <f>F89*AO89</f>
        <v>0</v>
      </c>
      <c r="I89" s="19">
        <f>F89*AP89</f>
        <v>0</v>
      </c>
      <c r="J89" s="19">
        <f>F89*G89</f>
        <v>0</v>
      </c>
      <c r="K89" s="19">
        <v>0</v>
      </c>
      <c r="L89" s="19">
        <f>F89*K89</f>
        <v>0</v>
      </c>
      <c r="M89" s="32" t="s">
        <v>272</v>
      </c>
      <c r="Z89" s="37">
        <f>IF(AQ89="5",BJ89,0)</f>
        <v>0</v>
      </c>
      <c r="AB89" s="37">
        <f>IF(AQ89="1",BH89,0)</f>
        <v>0</v>
      </c>
      <c r="AC89" s="37">
        <f>IF(AQ89="1",BI89,0)</f>
        <v>0</v>
      </c>
      <c r="AD89" s="37">
        <f>IF(AQ89="7",BH89,0)</f>
        <v>0</v>
      </c>
      <c r="AE89" s="37">
        <f>IF(AQ89="7",BI89,0)</f>
        <v>0</v>
      </c>
      <c r="AF89" s="37">
        <f>IF(AQ89="2",BH89,0)</f>
        <v>0</v>
      </c>
      <c r="AG89" s="37">
        <f>IF(AQ89="2",BI89,0)</f>
        <v>0</v>
      </c>
      <c r="AH89" s="37">
        <f>IF(AQ89="0",BJ89,0)</f>
        <v>0</v>
      </c>
      <c r="AI89" s="28" t="s">
        <v>72</v>
      </c>
      <c r="AJ89" s="19">
        <f>IF(AN89=0,J89,0)</f>
        <v>0</v>
      </c>
      <c r="AK89" s="19">
        <f>IF(AN89=15,J89,0)</f>
        <v>0</v>
      </c>
      <c r="AL89" s="19">
        <f>IF(AN89=21,J89,0)</f>
        <v>0</v>
      </c>
      <c r="AN89" s="37">
        <v>21</v>
      </c>
      <c r="AO89" s="37">
        <f>G89*0</f>
        <v>0</v>
      </c>
      <c r="AP89" s="37">
        <f>G89*(1-0)</f>
        <v>0</v>
      </c>
      <c r="AQ89" s="32" t="s">
        <v>11</v>
      </c>
      <c r="AV89" s="37">
        <f>AW89+AX89</f>
        <v>0</v>
      </c>
      <c r="AW89" s="37">
        <f>F89*AO89</f>
        <v>0</v>
      </c>
      <c r="AX89" s="37">
        <f>F89*AP89</f>
        <v>0</v>
      </c>
      <c r="AY89" s="38" t="s">
        <v>300</v>
      </c>
      <c r="AZ89" s="38" t="s">
        <v>310</v>
      </c>
      <c r="BA89" s="28" t="s">
        <v>313</v>
      </c>
      <c r="BC89" s="37">
        <f>AW89+AX89</f>
        <v>0</v>
      </c>
      <c r="BD89" s="37">
        <f>G89/(100-BE89)*100</f>
        <v>0</v>
      </c>
      <c r="BE89" s="37">
        <v>0</v>
      </c>
      <c r="BF89" s="37">
        <f>L89</f>
        <v>0</v>
      </c>
      <c r="BH89" s="19">
        <f>F89*AO89</f>
        <v>0</v>
      </c>
      <c r="BI89" s="19">
        <f>F89*AP89</f>
        <v>0</v>
      </c>
      <c r="BJ89" s="19">
        <f>F89*G89</f>
        <v>0</v>
      </c>
    </row>
    <row r="90" spans="1:62" ht="12.75">
      <c r="A90" s="5" t="s">
        <v>65</v>
      </c>
      <c r="B90" s="5" t="s">
        <v>72</v>
      </c>
      <c r="C90" s="5" t="s">
        <v>150</v>
      </c>
      <c r="D90" s="5" t="s">
        <v>234</v>
      </c>
      <c r="E90" s="5" t="s">
        <v>253</v>
      </c>
      <c r="F90" s="19">
        <v>0.03</v>
      </c>
      <c r="G90" s="19">
        <v>0</v>
      </c>
      <c r="H90" s="19">
        <f>F90*AO90</f>
        <v>0</v>
      </c>
      <c r="I90" s="19">
        <f>F90*AP90</f>
        <v>0</v>
      </c>
      <c r="J90" s="19">
        <f>F90*G90</f>
        <v>0</v>
      </c>
      <c r="K90" s="19">
        <v>0</v>
      </c>
      <c r="L90" s="19">
        <f>F90*K90</f>
        <v>0</v>
      </c>
      <c r="M90" s="32" t="s">
        <v>272</v>
      </c>
      <c r="Z90" s="37">
        <f>IF(AQ90="5",BJ90,0)</f>
        <v>0</v>
      </c>
      <c r="AB90" s="37">
        <f>IF(AQ90="1",BH90,0)</f>
        <v>0</v>
      </c>
      <c r="AC90" s="37">
        <f>IF(AQ90="1",BI90,0)</f>
        <v>0</v>
      </c>
      <c r="AD90" s="37">
        <f>IF(AQ90="7",BH90,0)</f>
        <v>0</v>
      </c>
      <c r="AE90" s="37">
        <f>IF(AQ90="7",BI90,0)</f>
        <v>0</v>
      </c>
      <c r="AF90" s="37">
        <f>IF(AQ90="2",BH90,0)</f>
        <v>0</v>
      </c>
      <c r="AG90" s="37">
        <f>IF(AQ90="2",BI90,0)</f>
        <v>0</v>
      </c>
      <c r="AH90" s="37">
        <f>IF(AQ90="0",BJ90,0)</f>
        <v>0</v>
      </c>
      <c r="AI90" s="28" t="s">
        <v>72</v>
      </c>
      <c r="AJ90" s="19">
        <f>IF(AN90=0,J90,0)</f>
        <v>0</v>
      </c>
      <c r="AK90" s="19">
        <f>IF(AN90=15,J90,0)</f>
        <v>0</v>
      </c>
      <c r="AL90" s="19">
        <f>IF(AN90=21,J90,0)</f>
        <v>0</v>
      </c>
      <c r="AN90" s="37">
        <v>21</v>
      </c>
      <c r="AO90" s="37">
        <f>G90*0</f>
        <v>0</v>
      </c>
      <c r="AP90" s="37">
        <f>G90*(1-0)</f>
        <v>0</v>
      </c>
      <c r="AQ90" s="32" t="s">
        <v>11</v>
      </c>
      <c r="AV90" s="37">
        <f>AW90+AX90</f>
        <v>0</v>
      </c>
      <c r="AW90" s="37">
        <f>F90*AO90</f>
        <v>0</v>
      </c>
      <c r="AX90" s="37">
        <f>F90*AP90</f>
        <v>0</v>
      </c>
      <c r="AY90" s="38" t="s">
        <v>300</v>
      </c>
      <c r="AZ90" s="38" t="s">
        <v>310</v>
      </c>
      <c r="BA90" s="28" t="s">
        <v>313</v>
      </c>
      <c r="BC90" s="37">
        <f>AW90+AX90</f>
        <v>0</v>
      </c>
      <c r="BD90" s="37">
        <f>G90/(100-BE90)*100</f>
        <v>0</v>
      </c>
      <c r="BE90" s="37">
        <v>0</v>
      </c>
      <c r="BF90" s="37">
        <f>L90</f>
        <v>0</v>
      </c>
      <c r="BH90" s="19">
        <f>F90*AO90</f>
        <v>0</v>
      </c>
      <c r="BI90" s="19">
        <f>F90*AP90</f>
        <v>0</v>
      </c>
      <c r="BJ90" s="19">
        <f>F90*G90</f>
        <v>0</v>
      </c>
    </row>
    <row r="91" spans="1:13" ht="12.75">
      <c r="A91" s="7"/>
      <c r="B91" s="15" t="s">
        <v>73</v>
      </c>
      <c r="C91" s="15"/>
      <c r="D91" s="15" t="s">
        <v>235</v>
      </c>
      <c r="E91" s="7" t="s">
        <v>6</v>
      </c>
      <c r="F91" s="7" t="s">
        <v>6</v>
      </c>
      <c r="G91" s="7" t="s">
        <v>6</v>
      </c>
      <c r="H91" s="41">
        <f>H92</f>
        <v>0</v>
      </c>
      <c r="I91" s="41">
        <f>I92</f>
        <v>0</v>
      </c>
      <c r="J91" s="41">
        <f>J92</f>
        <v>0</v>
      </c>
      <c r="K91" s="29"/>
      <c r="L91" s="41">
        <f>L92</f>
        <v>0</v>
      </c>
      <c r="M91" s="29"/>
    </row>
    <row r="92" spans="1:47" ht="12.75">
      <c r="A92" s="4"/>
      <c r="B92" s="14" t="s">
        <v>73</v>
      </c>
      <c r="C92" s="14" t="s">
        <v>151</v>
      </c>
      <c r="D92" s="14" t="s">
        <v>236</v>
      </c>
      <c r="E92" s="4" t="s">
        <v>6</v>
      </c>
      <c r="F92" s="4" t="s">
        <v>6</v>
      </c>
      <c r="G92" s="4" t="s">
        <v>6</v>
      </c>
      <c r="H92" s="40">
        <f>SUM(H93:H95)</f>
        <v>0</v>
      </c>
      <c r="I92" s="40">
        <f>SUM(I93:I95)</f>
        <v>0</v>
      </c>
      <c r="J92" s="40">
        <f>SUM(J93:J95)</f>
        <v>0</v>
      </c>
      <c r="K92" s="28"/>
      <c r="L92" s="40">
        <f>SUM(L93:L95)</f>
        <v>0</v>
      </c>
      <c r="M92" s="28"/>
      <c r="AI92" s="28" t="s">
        <v>73</v>
      </c>
      <c r="AS92" s="40">
        <f>SUM(AJ93:AJ95)</f>
        <v>0</v>
      </c>
      <c r="AT92" s="40">
        <f>SUM(AK93:AK95)</f>
        <v>0</v>
      </c>
      <c r="AU92" s="40">
        <f>SUM(AL93:AL95)</f>
        <v>0</v>
      </c>
    </row>
    <row r="93" spans="1:62" ht="12.75">
      <c r="A93" s="5" t="s">
        <v>66</v>
      </c>
      <c r="B93" s="5" t="s">
        <v>73</v>
      </c>
      <c r="C93" s="5" t="s">
        <v>152</v>
      </c>
      <c r="D93" s="5" t="s">
        <v>237</v>
      </c>
      <c r="E93" s="5" t="s">
        <v>247</v>
      </c>
      <c r="F93" s="19">
        <v>1</v>
      </c>
      <c r="G93" s="19">
        <v>0</v>
      </c>
      <c r="H93" s="19">
        <f>F93*AO93</f>
        <v>0</v>
      </c>
      <c r="I93" s="19">
        <f>F93*AP93</f>
        <v>0</v>
      </c>
      <c r="J93" s="19">
        <f>F93*G93</f>
        <v>0</v>
      </c>
      <c r="K93" s="19">
        <v>0</v>
      </c>
      <c r="L93" s="19">
        <f>F93*K93</f>
        <v>0</v>
      </c>
      <c r="M93" s="32"/>
      <c r="Z93" s="37">
        <f>IF(AQ93="5",BJ93,0)</f>
        <v>0</v>
      </c>
      <c r="AB93" s="37">
        <f>IF(AQ93="1",BH93,0)</f>
        <v>0</v>
      </c>
      <c r="AC93" s="37">
        <f>IF(AQ93="1",BI93,0)</f>
        <v>0</v>
      </c>
      <c r="AD93" s="37">
        <f>IF(AQ93="7",BH93,0)</f>
        <v>0</v>
      </c>
      <c r="AE93" s="37">
        <f>IF(AQ93="7",BI93,0)</f>
        <v>0</v>
      </c>
      <c r="AF93" s="37">
        <f>IF(AQ93="2",BH93,0)</f>
        <v>0</v>
      </c>
      <c r="AG93" s="37">
        <f>IF(AQ93="2",BI93,0)</f>
        <v>0</v>
      </c>
      <c r="AH93" s="37">
        <f>IF(AQ93="0",BJ93,0)</f>
        <v>0</v>
      </c>
      <c r="AI93" s="28" t="s">
        <v>73</v>
      </c>
      <c r="AJ93" s="19">
        <f>IF(AN93=0,J93,0)</f>
        <v>0</v>
      </c>
      <c r="AK93" s="19">
        <f>IF(AN93=15,J93,0)</f>
        <v>0</v>
      </c>
      <c r="AL93" s="19">
        <f>IF(AN93=21,J93,0)</f>
        <v>0</v>
      </c>
      <c r="AN93" s="37">
        <v>21</v>
      </c>
      <c r="AO93" s="37">
        <f>G93*0</f>
        <v>0</v>
      </c>
      <c r="AP93" s="37">
        <f>G93*(1-0)</f>
        <v>0</v>
      </c>
      <c r="AQ93" s="32" t="s">
        <v>7</v>
      </c>
      <c r="AV93" s="37">
        <f>AW93+AX93</f>
        <v>0</v>
      </c>
      <c r="AW93" s="37">
        <f>F93*AO93</f>
        <v>0</v>
      </c>
      <c r="AX93" s="37">
        <f>F93*AP93</f>
        <v>0</v>
      </c>
      <c r="AY93" s="38" t="s">
        <v>301</v>
      </c>
      <c r="AZ93" s="38" t="s">
        <v>311</v>
      </c>
      <c r="BA93" s="28" t="s">
        <v>314</v>
      </c>
      <c r="BC93" s="37">
        <f>AW93+AX93</f>
        <v>0</v>
      </c>
      <c r="BD93" s="37">
        <f>G93/(100-BE93)*100</f>
        <v>0</v>
      </c>
      <c r="BE93" s="37">
        <v>0</v>
      </c>
      <c r="BF93" s="37">
        <f>L93</f>
        <v>0</v>
      </c>
      <c r="BH93" s="19">
        <f>F93*AO93</f>
        <v>0</v>
      </c>
      <c r="BI93" s="19">
        <f>F93*AP93</f>
        <v>0</v>
      </c>
      <c r="BJ93" s="19">
        <f>F93*G93</f>
        <v>0</v>
      </c>
    </row>
    <row r="94" spans="1:62" ht="12.75">
      <c r="A94" s="5" t="s">
        <v>67</v>
      </c>
      <c r="B94" s="5" t="s">
        <v>73</v>
      </c>
      <c r="C94" s="5" t="s">
        <v>153</v>
      </c>
      <c r="D94" s="5" t="s">
        <v>238</v>
      </c>
      <c r="E94" s="5" t="s">
        <v>246</v>
      </c>
      <c r="F94" s="19">
        <v>1</v>
      </c>
      <c r="G94" s="19">
        <v>0</v>
      </c>
      <c r="H94" s="19">
        <f>F94*AO94</f>
        <v>0</v>
      </c>
      <c r="I94" s="19">
        <f>F94*AP94</f>
        <v>0</v>
      </c>
      <c r="J94" s="19">
        <f>F94*G94</f>
        <v>0</v>
      </c>
      <c r="K94" s="19">
        <v>0</v>
      </c>
      <c r="L94" s="19">
        <f>F94*K94</f>
        <v>0</v>
      </c>
      <c r="M94" s="32"/>
      <c r="Z94" s="37">
        <f>IF(AQ94="5",BJ94,0)</f>
        <v>0</v>
      </c>
      <c r="AB94" s="37">
        <f>IF(AQ94="1",BH94,0)</f>
        <v>0</v>
      </c>
      <c r="AC94" s="37">
        <f>IF(AQ94="1",BI94,0)</f>
        <v>0</v>
      </c>
      <c r="AD94" s="37">
        <f>IF(AQ94="7",BH94,0)</f>
        <v>0</v>
      </c>
      <c r="AE94" s="37">
        <f>IF(AQ94="7",BI94,0)</f>
        <v>0</v>
      </c>
      <c r="AF94" s="37">
        <f>IF(AQ94="2",BH94,0)</f>
        <v>0</v>
      </c>
      <c r="AG94" s="37">
        <f>IF(AQ94="2",BI94,0)</f>
        <v>0</v>
      </c>
      <c r="AH94" s="37">
        <f>IF(AQ94="0",BJ94,0)</f>
        <v>0</v>
      </c>
      <c r="AI94" s="28" t="s">
        <v>73</v>
      </c>
      <c r="AJ94" s="19">
        <f>IF(AN94=0,J94,0)</f>
        <v>0</v>
      </c>
      <c r="AK94" s="19">
        <f>IF(AN94=15,J94,0)</f>
        <v>0</v>
      </c>
      <c r="AL94" s="19">
        <f>IF(AN94=21,J94,0)</f>
        <v>0</v>
      </c>
      <c r="AN94" s="37">
        <v>21</v>
      </c>
      <c r="AO94" s="37">
        <f>G94*0</f>
        <v>0</v>
      </c>
      <c r="AP94" s="37">
        <f>G94*(1-0)</f>
        <v>0</v>
      </c>
      <c r="AQ94" s="32" t="s">
        <v>7</v>
      </c>
      <c r="AV94" s="37">
        <f>AW94+AX94</f>
        <v>0</v>
      </c>
      <c r="AW94" s="37">
        <f>F94*AO94</f>
        <v>0</v>
      </c>
      <c r="AX94" s="37">
        <f>F94*AP94</f>
        <v>0</v>
      </c>
      <c r="AY94" s="38" t="s">
        <v>301</v>
      </c>
      <c r="AZ94" s="38" t="s">
        <v>311</v>
      </c>
      <c r="BA94" s="28" t="s">
        <v>314</v>
      </c>
      <c r="BC94" s="37">
        <f>AW94+AX94</f>
        <v>0</v>
      </c>
      <c r="BD94" s="37">
        <f>G94/(100-BE94)*100</f>
        <v>0</v>
      </c>
      <c r="BE94" s="37">
        <v>0</v>
      </c>
      <c r="BF94" s="37">
        <f>L94</f>
        <v>0</v>
      </c>
      <c r="BH94" s="19">
        <f>F94*AO94</f>
        <v>0</v>
      </c>
      <c r="BI94" s="19">
        <f>F94*AP94</f>
        <v>0</v>
      </c>
      <c r="BJ94" s="19">
        <f>F94*G94</f>
        <v>0</v>
      </c>
    </row>
    <row r="95" spans="1:62" ht="12.75">
      <c r="A95" s="8" t="s">
        <v>68</v>
      </c>
      <c r="B95" s="8" t="s">
        <v>73</v>
      </c>
      <c r="C95" s="8" t="s">
        <v>154</v>
      </c>
      <c r="D95" s="8" t="s">
        <v>239</v>
      </c>
      <c r="E95" s="8" t="s">
        <v>247</v>
      </c>
      <c r="F95" s="21">
        <v>1</v>
      </c>
      <c r="G95" s="19">
        <v>0</v>
      </c>
      <c r="H95" s="21">
        <f>F95*AO95</f>
        <v>0</v>
      </c>
      <c r="I95" s="21">
        <f>F95*AP95</f>
        <v>0</v>
      </c>
      <c r="J95" s="21">
        <f>F95*G95</f>
        <v>0</v>
      </c>
      <c r="K95" s="21">
        <v>0</v>
      </c>
      <c r="L95" s="21">
        <f>F95*K95</f>
        <v>0</v>
      </c>
      <c r="M95" s="34"/>
      <c r="Z95" s="37">
        <f>IF(AQ95="5",BJ95,0)</f>
        <v>0</v>
      </c>
      <c r="AB95" s="37">
        <f>IF(AQ95="1",BH95,0)</f>
        <v>0</v>
      </c>
      <c r="AC95" s="37">
        <f>IF(AQ95="1",BI95,0)</f>
        <v>0</v>
      </c>
      <c r="AD95" s="37">
        <f>IF(AQ95="7",BH95,0)</f>
        <v>0</v>
      </c>
      <c r="AE95" s="37">
        <f>IF(AQ95="7",BI95,0)</f>
        <v>0</v>
      </c>
      <c r="AF95" s="37">
        <f>IF(AQ95="2",BH95,0)</f>
        <v>0</v>
      </c>
      <c r="AG95" s="37">
        <f>IF(AQ95="2",BI95,0)</f>
        <v>0</v>
      </c>
      <c r="AH95" s="37">
        <f>IF(AQ95="0",BJ95,0)</f>
        <v>0</v>
      </c>
      <c r="AI95" s="28" t="s">
        <v>73</v>
      </c>
      <c r="AJ95" s="19">
        <f>IF(AN95=0,J95,0)</f>
        <v>0</v>
      </c>
      <c r="AK95" s="19">
        <f>IF(AN95=15,J95,0)</f>
        <v>0</v>
      </c>
      <c r="AL95" s="19">
        <f>IF(AN95=21,J95,0)</f>
        <v>0</v>
      </c>
      <c r="AN95" s="37">
        <v>21</v>
      </c>
      <c r="AO95" s="37">
        <f>G95*0</f>
        <v>0</v>
      </c>
      <c r="AP95" s="37">
        <f>G95*(1-0)</f>
        <v>0</v>
      </c>
      <c r="AQ95" s="32" t="s">
        <v>7</v>
      </c>
      <c r="AV95" s="37">
        <f>AW95+AX95</f>
        <v>0</v>
      </c>
      <c r="AW95" s="37">
        <f>F95*AO95</f>
        <v>0</v>
      </c>
      <c r="AX95" s="37">
        <f>F95*AP95</f>
        <v>0</v>
      </c>
      <c r="AY95" s="38" t="s">
        <v>301</v>
      </c>
      <c r="AZ95" s="38" t="s">
        <v>311</v>
      </c>
      <c r="BA95" s="28" t="s">
        <v>314</v>
      </c>
      <c r="BC95" s="37">
        <f>AW95+AX95</f>
        <v>0</v>
      </c>
      <c r="BD95" s="37">
        <f>G95/(100-BE95)*100</f>
        <v>0</v>
      </c>
      <c r="BE95" s="37">
        <v>0</v>
      </c>
      <c r="BF95" s="37">
        <f>L95</f>
        <v>0</v>
      </c>
      <c r="BH95" s="19">
        <f>F95*AO95</f>
        <v>0</v>
      </c>
      <c r="BI95" s="19">
        <f>F95*AP95</f>
        <v>0</v>
      </c>
      <c r="BJ95" s="19">
        <f>F95*G95</f>
        <v>0</v>
      </c>
    </row>
    <row r="96" spans="1:13" ht="12.75">
      <c r="A96" s="9"/>
      <c r="B96" s="9"/>
      <c r="C96" s="9"/>
      <c r="D96" s="9"/>
      <c r="E96" s="9"/>
      <c r="F96" s="9"/>
      <c r="G96" s="9"/>
      <c r="H96" s="82" t="s">
        <v>264</v>
      </c>
      <c r="I96" s="67"/>
      <c r="J96" s="42">
        <f>J13+J16+J20+J27+J29+J37+J40+J42+J46+J48+J52+J65+J67+J70+J73+J75+J84+J86+J92</f>
        <v>0</v>
      </c>
      <c r="K96" s="9"/>
      <c r="L96" s="9"/>
      <c r="M96" s="9"/>
    </row>
    <row r="97" ht="10.5" customHeight="1">
      <c r="A97" s="10" t="s">
        <v>69</v>
      </c>
    </row>
    <row r="98" spans="1:13" ht="12.75" customHeight="1">
      <c r="A98" s="7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</row>
  </sheetData>
  <sheetProtection/>
  <mergeCells count="29">
    <mergeCell ref="H10:J10"/>
    <mergeCell ref="K10:L10"/>
    <mergeCell ref="H96:I96"/>
    <mergeCell ref="A98:M98"/>
    <mergeCell ref="A8:B9"/>
    <mergeCell ref="C8:D9"/>
    <mergeCell ref="E8:F9"/>
    <mergeCell ref="G8:G9"/>
    <mergeCell ref="H8:H9"/>
    <mergeCell ref="I8:M9"/>
    <mergeCell ref="A6:B7"/>
    <mergeCell ref="C6:D7"/>
    <mergeCell ref="E6:F7"/>
    <mergeCell ref="G6:G7"/>
    <mergeCell ref="H6:H7"/>
    <mergeCell ref="I6:M7"/>
    <mergeCell ref="A4:B5"/>
    <mergeCell ref="C4:D5"/>
    <mergeCell ref="E4:F5"/>
    <mergeCell ref="G4:G5"/>
    <mergeCell ref="H4:H5"/>
    <mergeCell ref="I4:M5"/>
    <mergeCell ref="A1:M1"/>
    <mergeCell ref="A2:B3"/>
    <mergeCell ref="C2:D3"/>
    <mergeCell ref="E2:F3"/>
    <mergeCell ref="G2:G3"/>
    <mergeCell ref="H2:H3"/>
    <mergeCell ref="I2:M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C1" sqref="A1:I37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2.75" customHeight="1">
      <c r="A1" s="59"/>
      <c r="B1" s="43"/>
      <c r="C1" s="83" t="s">
        <v>332</v>
      </c>
      <c r="D1" s="61"/>
      <c r="E1" s="61"/>
      <c r="F1" s="61"/>
      <c r="G1" s="61"/>
      <c r="H1" s="61"/>
      <c r="I1" s="61"/>
    </row>
    <row r="2" spans="1:10" ht="12.75">
      <c r="A2" s="62" t="s">
        <v>1</v>
      </c>
      <c r="B2" s="63"/>
      <c r="C2" s="66" t="str">
        <f>'Stavební rozpočet'!C2</f>
        <v>Nové teplovodní potrubí v objektu ZŠ Koperníkova 696</v>
      </c>
      <c r="D2" s="67"/>
      <c r="E2" s="70" t="s">
        <v>258</v>
      </c>
      <c r="F2" s="70" t="str">
        <f>'Stavební rozpočet'!I2</f>
        <v> </v>
      </c>
      <c r="G2" s="63"/>
      <c r="H2" s="70" t="s">
        <v>357</v>
      </c>
      <c r="I2" s="84"/>
      <c r="J2" s="35"/>
    </row>
    <row r="3" spans="1:10" ht="12.75" customHeight="1">
      <c r="A3" s="64"/>
      <c r="B3" s="65"/>
      <c r="C3" s="68"/>
      <c r="D3" s="68"/>
      <c r="E3" s="65"/>
      <c r="F3" s="65"/>
      <c r="G3" s="65"/>
      <c r="H3" s="65"/>
      <c r="I3" s="72"/>
      <c r="J3" s="35"/>
    </row>
    <row r="4" spans="1:10" ht="12.75">
      <c r="A4" s="73" t="s">
        <v>2</v>
      </c>
      <c r="B4" s="65"/>
      <c r="C4" s="74" t="str">
        <f>'Stavební rozpočet'!C4</f>
        <v> </v>
      </c>
      <c r="D4" s="65"/>
      <c r="E4" s="74" t="s">
        <v>259</v>
      </c>
      <c r="F4" s="74" t="str">
        <f>'Stavební rozpočet'!I4</f>
        <v> </v>
      </c>
      <c r="G4" s="65"/>
      <c r="H4" s="74" t="s">
        <v>357</v>
      </c>
      <c r="I4" s="85"/>
      <c r="J4" s="35"/>
    </row>
    <row r="5" spans="1:10" ht="12.75" customHeight="1">
      <c r="A5" s="64"/>
      <c r="B5" s="65"/>
      <c r="C5" s="65"/>
      <c r="D5" s="65"/>
      <c r="E5" s="65"/>
      <c r="F5" s="65"/>
      <c r="G5" s="65"/>
      <c r="H5" s="65"/>
      <c r="I5" s="72"/>
      <c r="J5" s="35"/>
    </row>
    <row r="6" spans="1:10" ht="12.75">
      <c r="A6" s="73" t="s">
        <v>3</v>
      </c>
      <c r="B6" s="65"/>
      <c r="C6" s="74" t="str">
        <f>'Stavební rozpočet'!C6</f>
        <v>ZŠ Koperníkova 696, Třinec</v>
      </c>
      <c r="D6" s="65"/>
      <c r="E6" s="74" t="s">
        <v>260</v>
      </c>
      <c r="F6" s="74" t="str">
        <f>'Stavební rozpočet'!I6</f>
        <v> </v>
      </c>
      <c r="G6" s="65"/>
      <c r="H6" s="74" t="s">
        <v>357</v>
      </c>
      <c r="I6" s="85"/>
      <c r="J6" s="35"/>
    </row>
    <row r="7" spans="1:10" ht="12.75" customHeight="1">
      <c r="A7" s="64"/>
      <c r="B7" s="65"/>
      <c r="C7" s="65"/>
      <c r="D7" s="65"/>
      <c r="E7" s="65"/>
      <c r="F7" s="65"/>
      <c r="G7" s="65"/>
      <c r="H7" s="65"/>
      <c r="I7" s="72"/>
      <c r="J7" s="35"/>
    </row>
    <row r="8" spans="1:10" ht="12.75">
      <c r="A8" s="73" t="s">
        <v>241</v>
      </c>
      <c r="B8" s="65"/>
      <c r="C8" s="74" t="str">
        <f>'Stavební rozpočet'!G4</f>
        <v> </v>
      </c>
      <c r="D8" s="65"/>
      <c r="E8" s="74" t="s">
        <v>242</v>
      </c>
      <c r="F8" s="74" t="str">
        <f>'Stavební rozpočet'!G6</f>
        <v> </v>
      </c>
      <c r="G8" s="65"/>
      <c r="H8" s="75" t="s">
        <v>358</v>
      </c>
      <c r="I8" s="85" t="s">
        <v>68</v>
      </c>
      <c r="J8" s="35"/>
    </row>
    <row r="9" spans="1:10" ht="12.75">
      <c r="A9" s="64"/>
      <c r="B9" s="65"/>
      <c r="C9" s="65"/>
      <c r="D9" s="65"/>
      <c r="E9" s="65"/>
      <c r="F9" s="65"/>
      <c r="G9" s="65"/>
      <c r="H9" s="65"/>
      <c r="I9" s="72"/>
      <c r="J9" s="35"/>
    </row>
    <row r="10" spans="1:10" ht="12.75">
      <c r="A10" s="73" t="s">
        <v>4</v>
      </c>
      <c r="B10" s="65"/>
      <c r="C10" s="74" t="str">
        <f>'Stavební rozpočet'!C8</f>
        <v> </v>
      </c>
      <c r="D10" s="65"/>
      <c r="E10" s="74" t="s">
        <v>261</v>
      </c>
      <c r="F10" s="74" t="str">
        <f>'Stavební rozpočet'!I8</f>
        <v> </v>
      </c>
      <c r="G10" s="65"/>
      <c r="H10" s="75" t="s">
        <v>359</v>
      </c>
      <c r="I10" s="88" t="str">
        <f>'Stavební rozpočet'!G8</f>
        <v>06.05.2019</v>
      </c>
      <c r="J10" s="35"/>
    </row>
    <row r="11" spans="1:10" ht="12.75">
      <c r="A11" s="86"/>
      <c r="B11" s="87"/>
      <c r="C11" s="87"/>
      <c r="D11" s="87"/>
      <c r="E11" s="87"/>
      <c r="F11" s="87"/>
      <c r="G11" s="87"/>
      <c r="H11" s="87"/>
      <c r="I11" s="89"/>
      <c r="J11" s="35"/>
    </row>
    <row r="12" spans="1:9" ht="18.75" customHeight="1">
      <c r="A12" s="90" t="s">
        <v>318</v>
      </c>
      <c r="B12" s="91"/>
      <c r="C12" s="91"/>
      <c r="D12" s="91"/>
      <c r="E12" s="91"/>
      <c r="F12" s="91"/>
      <c r="G12" s="91"/>
      <c r="H12" s="91"/>
      <c r="I12" s="91"/>
    </row>
    <row r="13" spans="1:10" ht="26.25" customHeight="1">
      <c r="A13" s="44" t="s">
        <v>319</v>
      </c>
      <c r="B13" s="92" t="s">
        <v>330</v>
      </c>
      <c r="C13" s="93"/>
      <c r="D13" s="44" t="s">
        <v>333</v>
      </c>
      <c r="E13" s="92" t="s">
        <v>342</v>
      </c>
      <c r="F13" s="93"/>
      <c r="G13" s="44" t="s">
        <v>343</v>
      </c>
      <c r="H13" s="92" t="s">
        <v>360</v>
      </c>
      <c r="I13" s="93"/>
      <c r="J13" s="35"/>
    </row>
    <row r="14" spans="1:10" ht="12.75" customHeight="1">
      <c r="A14" s="45" t="s">
        <v>320</v>
      </c>
      <c r="B14" s="49" t="s">
        <v>331</v>
      </c>
      <c r="C14" s="53">
        <f>SUM('Stavební rozpočet'!AB12:AB95)</f>
        <v>0</v>
      </c>
      <c r="D14" s="94" t="s">
        <v>334</v>
      </c>
      <c r="E14" s="95"/>
      <c r="F14" s="53">
        <v>0</v>
      </c>
      <c r="G14" s="94" t="s">
        <v>344</v>
      </c>
      <c r="H14" s="95"/>
      <c r="I14" s="53">
        <v>0</v>
      </c>
      <c r="J14" s="35"/>
    </row>
    <row r="15" spans="1:10" ht="12.75" customHeight="1">
      <c r="A15" s="46"/>
      <c r="B15" s="49" t="s">
        <v>266</v>
      </c>
      <c r="C15" s="53">
        <f>SUM('Stavební rozpočet'!AC12:AC95)</f>
        <v>0</v>
      </c>
      <c r="D15" s="94" t="s">
        <v>335</v>
      </c>
      <c r="E15" s="95"/>
      <c r="F15" s="53">
        <v>0</v>
      </c>
      <c r="G15" s="94" t="s">
        <v>345</v>
      </c>
      <c r="H15" s="95"/>
      <c r="I15" s="53">
        <v>0</v>
      </c>
      <c r="J15" s="35"/>
    </row>
    <row r="16" spans="1:10" ht="12.75" customHeight="1">
      <c r="A16" s="45" t="s">
        <v>321</v>
      </c>
      <c r="B16" s="49" t="s">
        <v>331</v>
      </c>
      <c r="C16" s="53">
        <f>SUM('Stavební rozpočet'!AD12:AD95)</f>
        <v>0</v>
      </c>
      <c r="D16" s="94" t="s">
        <v>336</v>
      </c>
      <c r="E16" s="95"/>
      <c r="F16" s="53">
        <v>0</v>
      </c>
      <c r="G16" s="94" t="s">
        <v>346</v>
      </c>
      <c r="H16" s="95"/>
      <c r="I16" s="53">
        <v>0</v>
      </c>
      <c r="J16" s="35"/>
    </row>
    <row r="17" spans="1:10" ht="12.75" customHeight="1">
      <c r="A17" s="46"/>
      <c r="B17" s="49" t="s">
        <v>266</v>
      </c>
      <c r="C17" s="53">
        <f>SUM('Stavební rozpočet'!AE12:AE95)</f>
        <v>0</v>
      </c>
      <c r="D17" s="94"/>
      <c r="E17" s="95"/>
      <c r="F17" s="54"/>
      <c r="G17" s="94" t="s">
        <v>347</v>
      </c>
      <c r="H17" s="95"/>
      <c r="I17" s="53">
        <v>0</v>
      </c>
      <c r="J17" s="35"/>
    </row>
    <row r="18" spans="1:10" ht="12.75" customHeight="1">
      <c r="A18" s="45" t="s">
        <v>322</v>
      </c>
      <c r="B18" s="49" t="s">
        <v>331</v>
      </c>
      <c r="C18" s="53">
        <f>SUM('Stavební rozpočet'!AF12:AF95)</f>
        <v>0</v>
      </c>
      <c r="D18" s="94"/>
      <c r="E18" s="95"/>
      <c r="F18" s="54"/>
      <c r="G18" s="94" t="s">
        <v>348</v>
      </c>
      <c r="H18" s="95"/>
      <c r="I18" s="53">
        <v>0</v>
      </c>
      <c r="J18" s="35"/>
    </row>
    <row r="19" spans="1:10" ht="12.75" customHeight="1">
      <c r="A19" s="46"/>
      <c r="B19" s="49" t="s">
        <v>266</v>
      </c>
      <c r="C19" s="53">
        <f>SUM('Stavební rozpočet'!AG12:AG95)</f>
        <v>0</v>
      </c>
      <c r="D19" s="94"/>
      <c r="E19" s="95"/>
      <c r="F19" s="54"/>
      <c r="G19" s="94" t="s">
        <v>349</v>
      </c>
      <c r="H19" s="95"/>
      <c r="I19" s="53">
        <v>0</v>
      </c>
      <c r="J19" s="35"/>
    </row>
    <row r="20" spans="1:10" ht="12.75" customHeight="1">
      <c r="A20" s="96" t="s">
        <v>196</v>
      </c>
      <c r="B20" s="97"/>
      <c r="C20" s="53">
        <f>SUM('Stavební rozpočet'!AH12:AH95)</f>
        <v>0</v>
      </c>
      <c r="D20" s="94"/>
      <c r="E20" s="95"/>
      <c r="F20" s="54"/>
      <c r="G20" s="94"/>
      <c r="H20" s="95"/>
      <c r="I20" s="54"/>
      <c r="J20" s="35"/>
    </row>
    <row r="21" spans="1:10" ht="12.75" customHeight="1">
      <c r="A21" s="96" t="s">
        <v>323</v>
      </c>
      <c r="B21" s="97"/>
      <c r="C21" s="53">
        <f>SUM('Stavební rozpočet'!Z12:Z95)</f>
        <v>0</v>
      </c>
      <c r="D21" s="94"/>
      <c r="E21" s="95"/>
      <c r="F21" s="54"/>
      <c r="G21" s="94"/>
      <c r="H21" s="95"/>
      <c r="I21" s="54"/>
      <c r="J21" s="35"/>
    </row>
    <row r="22" spans="1:10" ht="16.5" customHeight="1">
      <c r="A22" s="96" t="s">
        <v>324</v>
      </c>
      <c r="B22" s="97"/>
      <c r="C22" s="53">
        <f>SUM(C14:C21)</f>
        <v>0</v>
      </c>
      <c r="D22" s="96" t="s">
        <v>337</v>
      </c>
      <c r="E22" s="97"/>
      <c r="F22" s="53">
        <f>SUM(F14:F21)</f>
        <v>0</v>
      </c>
      <c r="G22" s="96" t="s">
        <v>350</v>
      </c>
      <c r="H22" s="97"/>
      <c r="I22" s="53">
        <f>SUM(I14:I21)</f>
        <v>0</v>
      </c>
      <c r="J22" s="35"/>
    </row>
    <row r="23" spans="1:10" ht="12.75" customHeight="1">
      <c r="A23" s="9"/>
      <c r="B23" s="9"/>
      <c r="C23" s="51"/>
      <c r="D23" s="96" t="s">
        <v>338</v>
      </c>
      <c r="E23" s="97"/>
      <c r="F23" s="55">
        <v>0</v>
      </c>
      <c r="G23" s="96" t="s">
        <v>351</v>
      </c>
      <c r="H23" s="97"/>
      <c r="I23" s="53">
        <v>0</v>
      </c>
      <c r="J23" s="35"/>
    </row>
    <row r="24" spans="4:10" ht="12.75" customHeight="1">
      <c r="D24" s="9"/>
      <c r="E24" s="9"/>
      <c r="F24" s="56"/>
      <c r="G24" s="96" t="s">
        <v>352</v>
      </c>
      <c r="H24" s="97"/>
      <c r="I24" s="53">
        <v>0</v>
      </c>
      <c r="J24" s="35"/>
    </row>
    <row r="25" spans="6:10" ht="12.75" customHeight="1">
      <c r="F25" s="57"/>
      <c r="G25" s="96" t="s">
        <v>353</v>
      </c>
      <c r="H25" s="97"/>
      <c r="I25" s="53">
        <v>0</v>
      </c>
      <c r="J25" s="35"/>
    </row>
    <row r="26" spans="1:9" ht="12.75">
      <c r="A26" s="43"/>
      <c r="B26" s="43"/>
      <c r="C26" s="43"/>
      <c r="G26" s="9"/>
      <c r="H26" s="9"/>
      <c r="I26" s="9"/>
    </row>
    <row r="27" spans="1:9" ht="12.75" customHeight="1">
      <c r="A27" s="98" t="s">
        <v>325</v>
      </c>
      <c r="B27" s="99"/>
      <c r="C27" s="58">
        <f>SUM('Stavební rozpočet'!AJ12:AJ95)</f>
        <v>0</v>
      </c>
      <c r="D27" s="52"/>
      <c r="E27" s="43"/>
      <c r="F27" s="43"/>
      <c r="G27" s="43"/>
      <c r="H27" s="43"/>
      <c r="I27" s="43"/>
    </row>
    <row r="28" spans="1:10" ht="12.75" customHeight="1">
      <c r="A28" s="98" t="s">
        <v>326</v>
      </c>
      <c r="B28" s="99"/>
      <c r="C28" s="58">
        <f>SUM('Stavební rozpočet'!AK12:AK95)</f>
        <v>0</v>
      </c>
      <c r="D28" s="98" t="s">
        <v>339</v>
      </c>
      <c r="E28" s="99"/>
      <c r="F28" s="58">
        <f>ROUND(C28*(15/100),2)</f>
        <v>0</v>
      </c>
      <c r="G28" s="98" t="s">
        <v>354</v>
      </c>
      <c r="H28" s="99"/>
      <c r="I28" s="58">
        <f>SUM(C27:C29)</f>
        <v>0</v>
      </c>
      <c r="J28" s="35"/>
    </row>
    <row r="29" spans="1:10" ht="12.75" customHeight="1">
      <c r="A29" s="98" t="s">
        <v>327</v>
      </c>
      <c r="B29" s="99"/>
      <c r="C29" s="58">
        <f>SUM('Stavební rozpočet'!AL12:AL95)+(F22+I22+F23+I23+I24+I25)</f>
        <v>0</v>
      </c>
      <c r="D29" s="98" t="s">
        <v>340</v>
      </c>
      <c r="E29" s="99"/>
      <c r="F29" s="58">
        <f>ROUND(C29*(21/100),2)</f>
        <v>0</v>
      </c>
      <c r="G29" s="98" t="s">
        <v>355</v>
      </c>
      <c r="H29" s="99"/>
      <c r="I29" s="58">
        <f>SUM(F28:F29)+I28</f>
        <v>0</v>
      </c>
      <c r="J29" s="35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10" ht="12.75" customHeight="1">
      <c r="A31" s="100" t="s">
        <v>328</v>
      </c>
      <c r="B31" s="101"/>
      <c r="C31" s="102"/>
      <c r="D31" s="100" t="s">
        <v>341</v>
      </c>
      <c r="E31" s="101"/>
      <c r="F31" s="102"/>
      <c r="G31" s="100" t="s">
        <v>356</v>
      </c>
      <c r="H31" s="101"/>
      <c r="I31" s="102"/>
      <c r="J31" s="36"/>
    </row>
    <row r="32" spans="1:10" ht="12.75" customHeight="1">
      <c r="A32" s="103"/>
      <c r="B32" s="104"/>
      <c r="C32" s="105"/>
      <c r="D32" s="103"/>
      <c r="E32" s="104"/>
      <c r="F32" s="105"/>
      <c r="G32" s="103"/>
      <c r="H32" s="104"/>
      <c r="I32" s="105"/>
      <c r="J32" s="36"/>
    </row>
    <row r="33" spans="1:10" ht="12.75" customHeight="1">
      <c r="A33" s="103"/>
      <c r="B33" s="104"/>
      <c r="C33" s="105"/>
      <c r="D33" s="103"/>
      <c r="E33" s="104"/>
      <c r="F33" s="105"/>
      <c r="G33" s="103"/>
      <c r="H33" s="104"/>
      <c r="I33" s="105"/>
      <c r="J33" s="36"/>
    </row>
    <row r="34" spans="1:10" ht="12.75" customHeight="1">
      <c r="A34" s="103"/>
      <c r="B34" s="104"/>
      <c r="C34" s="105"/>
      <c r="D34" s="103"/>
      <c r="E34" s="104"/>
      <c r="F34" s="105"/>
      <c r="G34" s="103"/>
      <c r="H34" s="104"/>
      <c r="I34" s="105"/>
      <c r="J34" s="36"/>
    </row>
    <row r="35" spans="1:10" ht="12.75" customHeight="1">
      <c r="A35" s="106" t="s">
        <v>329</v>
      </c>
      <c r="B35" s="107"/>
      <c r="C35" s="108"/>
      <c r="D35" s="106" t="s">
        <v>329</v>
      </c>
      <c r="E35" s="107"/>
      <c r="F35" s="108"/>
      <c r="G35" s="106" t="s">
        <v>329</v>
      </c>
      <c r="H35" s="107"/>
      <c r="I35" s="108"/>
      <c r="J35" s="36"/>
    </row>
    <row r="36" spans="1:9" ht="10.5" customHeight="1">
      <c r="A36" s="48" t="s">
        <v>69</v>
      </c>
      <c r="B36" s="50"/>
      <c r="C36" s="50"/>
      <c r="D36" s="50"/>
      <c r="E36" s="50"/>
      <c r="F36" s="50"/>
      <c r="G36" s="50"/>
      <c r="H36" s="50"/>
      <c r="I36" s="50"/>
    </row>
    <row r="37" spans="1:9" ht="12.75" customHeight="1">
      <c r="A37" s="74"/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Kawulok</dc:creator>
  <cp:keywords/>
  <dc:description/>
  <cp:lastModifiedBy>Marian Kawulok</cp:lastModifiedBy>
  <cp:lastPrinted>2019-06-07T06:41:02Z</cp:lastPrinted>
  <dcterms:created xsi:type="dcterms:W3CDTF">2019-06-07T06:41:33Z</dcterms:created>
  <dcterms:modified xsi:type="dcterms:W3CDTF">2019-06-07T06:42:54Z</dcterms:modified>
  <cp:category/>
  <cp:version/>
  <cp:contentType/>
  <cp:contentStatus/>
</cp:coreProperties>
</file>